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CWLend\Loan Programs\Symmerty\"/>
    </mc:Choice>
  </mc:AlternateContent>
  <bookViews>
    <workbookView xWindow="0" yWindow="0" windowWidth="8685" windowHeight="11475"/>
  </bookViews>
  <sheets>
    <sheet name="PreQual Worksheet" sheetId="1" r:id="rId1"/>
    <sheet name="Rules" sheetId="2" state="hidden" r:id="rId2"/>
    <sheet name="Reference" sheetId="7" state="hidden" r:id="rId3"/>
    <sheet name="States" sheetId="3" state="hidden" r:id="rId4"/>
    <sheet name="Rate" sheetId="6" state="hidden" r:id="rId5"/>
  </sheets>
  <definedNames>
    <definedName name="_xlnm._FilterDatabase" localSheetId="1" hidden="1">Rules!$A$23:$I$31</definedName>
    <definedName name="_xlnm._FilterDatabase" localSheetId="3" hidden="1">States!$A$3:$H$62</definedName>
    <definedName name="ExternalData_1" localSheetId="4" hidden="1">Rate!$A$1:$D$2</definedName>
    <definedName name="Locator">'PreQual Worksheet'!$LCB$524293</definedName>
    <definedName name="_xlnm.Print_Area" localSheetId="0">'PreQual Worksheet'!$A$2:$G$78</definedName>
    <definedName name="Product">Rules!$C$23:$C$31</definedName>
    <definedName name="Type">States!#REF!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 l="1"/>
  <c r="C15" i="2"/>
  <c r="C14" i="2"/>
  <c r="C19" i="2"/>
  <c r="C18" i="2"/>
  <c r="C17" i="2"/>
  <c r="C16" i="2"/>
  <c r="B45" i="1" l="1"/>
  <c r="A54" i="1"/>
  <c r="F45" i="1"/>
  <c r="P72" i="1"/>
  <c r="G54" i="1"/>
  <c r="B43" i="1"/>
  <c r="B42" i="1"/>
  <c r="F47" i="1" l="1"/>
  <c r="B47" i="1" l="1"/>
  <c r="E10" i="2" l="1" a="1"/>
  <c r="E10" i="2" s="1"/>
  <c r="E9" i="2" a="1"/>
  <c r="E9" i="2" s="1"/>
  <c r="E4" i="2" a="1"/>
  <c r="E4" i="2" s="1"/>
  <c r="E5" i="2" a="1"/>
  <c r="E5" i="2" s="1"/>
  <c r="E6" i="2" a="1"/>
  <c r="E6" i="2" s="1"/>
  <c r="F42" i="1" l="1"/>
  <c r="G49" i="1" s="1"/>
  <c r="F43" i="1"/>
  <c r="G63" i="1" s="1"/>
  <c r="F46" i="1"/>
  <c r="G45" i="1"/>
  <c r="B44" i="1" l="1"/>
  <c r="E12" i="2" l="1" a="1"/>
  <c r="E12" i="2" s="1"/>
  <c r="E11" i="2" a="1"/>
  <c r="F11" i="2" s="1"/>
  <c r="E8" i="2" a="1"/>
  <c r="E8" i="2" s="1"/>
  <c r="E7" i="2" a="1"/>
  <c r="E7" i="2" s="1"/>
  <c r="E3" i="2" a="1"/>
  <c r="E3" i="2" s="1"/>
  <c r="E11" i="2" l="1"/>
  <c r="F8" i="2"/>
  <c r="F7" i="2"/>
  <c r="F3" i="2"/>
  <c r="I21" i="1" l="1"/>
  <c r="F7" i="3"/>
  <c r="F6" i="3"/>
  <c r="F8" i="3"/>
  <c r="F9" i="3"/>
  <c r="F10" i="3"/>
  <c r="F11" i="3"/>
  <c r="F12" i="3"/>
  <c r="F13" i="3"/>
  <c r="F14" i="3"/>
  <c r="F16" i="3"/>
  <c r="F17" i="3"/>
  <c r="F18" i="3"/>
  <c r="F19" i="3"/>
  <c r="F20" i="3"/>
  <c r="F21" i="3"/>
  <c r="F24" i="3"/>
  <c r="F25" i="3"/>
  <c r="F26" i="3"/>
  <c r="G52" i="1" s="1"/>
  <c r="F28" i="3"/>
  <c r="F27" i="3"/>
  <c r="F29" i="3"/>
  <c r="F32" i="3"/>
  <c r="F33" i="3"/>
  <c r="F34" i="3"/>
  <c r="F35" i="3"/>
  <c r="F37" i="3"/>
  <c r="F31" i="3"/>
  <c r="F38" i="3"/>
  <c r="F39" i="3"/>
  <c r="F40" i="3"/>
  <c r="F41" i="3"/>
  <c r="F42" i="3"/>
  <c r="F43" i="3"/>
  <c r="F44" i="3"/>
  <c r="F45" i="3"/>
  <c r="F46" i="3"/>
  <c r="F47" i="3"/>
  <c r="F48" i="3"/>
  <c r="F50" i="3"/>
  <c r="F52" i="3"/>
  <c r="F51" i="3"/>
  <c r="F54" i="3"/>
  <c r="F55" i="3"/>
  <c r="F56" i="3"/>
  <c r="F57" i="3"/>
  <c r="F58" i="3"/>
  <c r="F59" i="3"/>
  <c r="F60" i="3"/>
  <c r="F61" i="3"/>
  <c r="F62" i="3"/>
  <c r="F5" i="3"/>
  <c r="G43" i="1" l="1"/>
  <c r="G47" i="1"/>
  <c r="P63" i="1"/>
  <c r="P70" i="1" l="1"/>
  <c r="P71" i="1"/>
  <c r="G42" i="1"/>
  <c r="G46" i="1"/>
  <c r="P64" i="1" s="1"/>
  <c r="P61" i="1"/>
  <c r="P65" i="1"/>
  <c r="B3" i="3"/>
  <c r="P60" i="1" l="1"/>
  <c r="F54" i="1"/>
  <c r="F52" i="1" l="1"/>
  <c r="C20" i="2" l="1"/>
  <c r="G74" i="1" l="1"/>
  <c r="B28" i="1" l="1"/>
  <c r="B35" i="1" s="1"/>
  <c r="C28" i="1"/>
  <c r="C35" i="1" s="1"/>
  <c r="B37" i="1" l="1"/>
  <c r="F44" i="1" s="1"/>
  <c r="G44" i="1" s="1"/>
  <c r="P62" i="1" s="1"/>
  <c r="A59" i="1" s="1"/>
  <c r="G75" i="1"/>
  <c r="G50" i="1"/>
  <c r="G56" i="1" l="1"/>
  <c r="F50" i="1"/>
  <c r="G68" i="1" l="1"/>
  <c r="G65" i="1"/>
  <c r="G70" i="1"/>
  <c r="G69" i="1"/>
  <c r="G66" i="1"/>
  <c r="G67" i="1"/>
  <c r="G64" i="1"/>
  <c r="G71" i="1" l="1"/>
  <c r="G73" i="1" s="1"/>
  <c r="G76" i="1" s="1"/>
</calcChain>
</file>

<file path=xl/connections.xml><?xml version="1.0" encoding="utf-8"?>
<connections xmlns="http://schemas.openxmlformats.org/spreadsheetml/2006/main">
  <connection id="1" keepAlive="1" name="Query - Prime rate, federal funds rate, COFI  Updated: 01/07/2020" description="Connection to the 'Prime rate, federal funds rate, COFI  Updated: 01/07/2020' query in the workbook." type="5" refreshedVersion="6" background="1" saveData="1" credentials="none">
    <dbPr connection="Provider=Microsoft.Mashup.OleDb.1;Data Source=$Workbook$;Location=Prime rate, federal funds rate, COFI  Updated: 01/07/2020;Extended Properties=&quot;&quot;" command="SELECT * FROM [Prime rate, federal funds rate, COFI  Updated: 01/07/2020]"/>
  </connection>
</connections>
</file>

<file path=xl/sharedStrings.xml><?xml version="1.0" encoding="utf-8"?>
<sst xmlns="http://schemas.openxmlformats.org/spreadsheetml/2006/main" count="461" uniqueCount="253">
  <si>
    <t>Legend:</t>
  </si>
  <si>
    <t>Model Variables</t>
  </si>
  <si>
    <t>Processor Name:</t>
  </si>
  <si>
    <t>Data Entry Required</t>
  </si>
  <si>
    <t>Update State Geography</t>
  </si>
  <si>
    <t>Processor Phone:</t>
  </si>
  <si>
    <t>Calculated Field</t>
  </si>
  <si>
    <t>Change Margin Rules</t>
  </si>
  <si>
    <t>Processor Email:</t>
  </si>
  <si>
    <t>Change Products</t>
  </si>
  <si>
    <r>
      <t xml:space="preserve">Pre-Qualification Worksheet 
</t>
    </r>
    <r>
      <rPr>
        <b/>
        <sz val="12"/>
        <color rgb="FF4F160F"/>
        <rFont val="Cambria"/>
        <family val="1"/>
      </rPr>
      <t>*Effective for the Symmetry Lending Pricing Guide - 02/01/2022</t>
    </r>
  </si>
  <si>
    <r>
      <t xml:space="preserve">Borrower(s) Information: </t>
    </r>
    <r>
      <rPr>
        <b/>
        <sz val="8"/>
        <color theme="0"/>
        <rFont val="Cambria"/>
        <family val="1"/>
      </rPr>
      <t>Data Entry</t>
    </r>
  </si>
  <si>
    <t>Borrower Name:</t>
  </si>
  <si>
    <t>Co-Borrower Name:</t>
  </si>
  <si>
    <t>Median Credit Score:</t>
  </si>
  <si>
    <t>Total Monthly Income:</t>
  </si>
  <si>
    <r>
      <t>Property Information:</t>
    </r>
    <r>
      <rPr>
        <b/>
        <sz val="8"/>
        <color theme="0"/>
        <rFont val="Cambria"/>
        <family val="1"/>
      </rPr>
      <t xml:space="preserve"> Data Entry</t>
    </r>
  </si>
  <si>
    <t>Property State:</t>
  </si>
  <si>
    <t>CO</t>
  </si>
  <si>
    <t>First or Second Lien:</t>
  </si>
  <si>
    <t>Occupancy :</t>
  </si>
  <si>
    <t>Purpose:</t>
  </si>
  <si>
    <t>HELOC Transaction Type:</t>
  </si>
  <si>
    <t>Estimated Closing Date:</t>
  </si>
  <si>
    <t>Property Type:</t>
  </si>
  <si>
    <t>1st Mortgage Close Date:</t>
  </si>
  <si>
    <r>
      <t xml:space="preserve">Loan Information: </t>
    </r>
    <r>
      <rPr>
        <b/>
        <sz val="8"/>
        <color theme="0"/>
        <rFont val="Cambria"/>
        <family val="1"/>
      </rPr>
      <t>Data Entry</t>
    </r>
  </si>
  <si>
    <t>Estimated Purchase Price/Value:</t>
  </si>
  <si>
    <t>Total Line Request:</t>
  </si>
  <si>
    <t>1st Mortgage Balance:</t>
  </si>
  <si>
    <t>Initial Advance:</t>
  </si>
  <si>
    <t>Current Prime Rate:</t>
  </si>
  <si>
    <r>
      <t xml:space="preserve">Estimated Total Monthly Payments: </t>
    </r>
    <r>
      <rPr>
        <b/>
        <sz val="8"/>
        <color theme="0"/>
        <rFont val="Cambria"/>
        <family val="1"/>
      </rPr>
      <t>Data Entry</t>
    </r>
  </si>
  <si>
    <t>Est. Monthly Payment Amounts</t>
  </si>
  <si>
    <t>Primary Residence</t>
  </si>
  <si>
    <t>2nd Residence 
(if applicable)</t>
  </si>
  <si>
    <t>1st Mortgage P&amp;I:</t>
  </si>
  <si>
    <t>Est. HELOC Pmt:</t>
  </si>
  <si>
    <t>Hazard Insurance:</t>
  </si>
  <si>
    <t>Real Estate Taxes:</t>
  </si>
  <si>
    <t>Homeowner Assn Dues:</t>
  </si>
  <si>
    <t>Other Housing Expenses:</t>
  </si>
  <si>
    <t>Total Other Payments:</t>
  </si>
  <si>
    <t>Total Monthly Payment:</t>
  </si>
  <si>
    <t xml:space="preserve"> </t>
  </si>
  <si>
    <t>Total Calculated Monthly Pmt:</t>
  </si>
  <si>
    <r>
      <t xml:space="preserve">Qualifying Calculations: </t>
    </r>
    <r>
      <rPr>
        <b/>
        <sz val="8"/>
        <color theme="0"/>
        <rFont val="Cambria"/>
        <family val="1"/>
      </rPr>
      <t>No Data Entry/Calculated from Above</t>
    </r>
  </si>
  <si>
    <t>Program Guidelines:</t>
  </si>
  <si>
    <t>Qualification Calculations:</t>
  </si>
  <si>
    <t>Qualify?</t>
  </si>
  <si>
    <t>Maximum Line Amount:</t>
  </si>
  <si>
    <t>Requested Line:</t>
  </si>
  <si>
    <t>Minimum FICO:</t>
  </si>
  <si>
    <t>Symmetry FICO Score:</t>
  </si>
  <si>
    <t>Max DTI (Back-end):</t>
  </si>
  <si>
    <t>DTI (Back-end):</t>
  </si>
  <si>
    <t>Min Initial Draw Amount:</t>
  </si>
  <si>
    <t>Max Combined Loan  Amt:</t>
  </si>
  <si>
    <t>Total Loan Amt:</t>
  </si>
  <si>
    <t>Max HCLTV:</t>
  </si>
  <si>
    <t>HCLTV:</t>
  </si>
  <si>
    <t>Initial Advance &lt;= Line Amount</t>
  </si>
  <si>
    <t>1.</t>
  </si>
  <si>
    <t>Borrower Qualified?</t>
  </si>
  <si>
    <t>Desired Product</t>
  </si>
  <si>
    <t>2.</t>
  </si>
  <si>
    <t>Eligible State?</t>
  </si>
  <si>
    <t>3.</t>
  </si>
  <si>
    <t>Eligible Product?</t>
  </si>
  <si>
    <t>---&gt;</t>
  </si>
  <si>
    <t>Qualified (Y/N)</t>
  </si>
  <si>
    <t>Notes or Disqualification Reason</t>
  </si>
  <si>
    <t>Rate Qualifications (If Qualified)</t>
  </si>
  <si>
    <t xml:space="preserve">  Base Margin</t>
  </si>
  <si>
    <t>+Second Home Add-On:</t>
  </si>
  <si>
    <t>+Line Amount $25,000-$49,999 Add-On:</t>
  </si>
  <si>
    <t>+Line Amount $50,000-$99,999 Add-On:</t>
  </si>
  <si>
    <t>+Line Amount $100,000-$149,999 Add-On:</t>
  </si>
  <si>
    <t>+Subject Property in CA Add-On:</t>
  </si>
  <si>
    <t>+Subject Property in AZ, FL, OR, WA Add-On:</t>
  </si>
  <si>
    <t>+Stand-Alone Transaction Add-On:</t>
  </si>
  <si>
    <t>=Total Margin</t>
  </si>
  <si>
    <t>&lt;--</t>
  </si>
  <si>
    <t>HELOC Margin (if qualified)</t>
  </si>
  <si>
    <t>HELOC Start Rate:</t>
  </si>
  <si>
    <t>HELOC Interest Rate (if qualified)</t>
  </si>
  <si>
    <t>Start Rate + 2% :</t>
  </si>
  <si>
    <t>Qualifying Payment Amount:</t>
  </si>
  <si>
    <t>Estimated Interest Only Payment at the Start Rate:</t>
  </si>
  <si>
    <t xml:space="preserve">This Pre-Qualification Worksheet (“Worksheet”) is for general informational purposes only.  Symmetry Lending, LLC is providing this Worksheet in good faith to assist you in determining whether an application for a home equity line of credit may be approved.  However, we make no representation of any kind, express or implied, regarding the accuracy, adequacy, validity, or completeness of this Worksheet. Completion of this Worksheet is does not  guarantee that an application will be approved.  </t>
  </si>
  <si>
    <t>Last updated: 02/01/2022</t>
  </si>
  <si>
    <t>Helpful Resources:</t>
  </si>
  <si>
    <t>Symmetry Forms &amp; Credit/Income Guides</t>
  </si>
  <si>
    <t>Contact Symmetry</t>
  </si>
  <si>
    <t>CLTV</t>
  </si>
  <si>
    <t>FICO</t>
  </si>
  <si>
    <t>All active</t>
  </si>
  <si>
    <t>Product Staging</t>
  </si>
  <si>
    <t>&lt;=89.99%</t>
  </si>
  <si>
    <t>760+</t>
  </si>
  <si>
    <t>720-759</t>
  </si>
  <si>
    <t>700-719</t>
  </si>
  <si>
    <t>680-699</t>
  </si>
  <si>
    <t>Second Home</t>
  </si>
  <si>
    <t>Product</t>
  </si>
  <si>
    <t>Piggyback</t>
  </si>
  <si>
    <t>Lien Position</t>
  </si>
  <si>
    <t>Residence</t>
  </si>
  <si>
    <t>Primary</t>
  </si>
  <si>
    <t xml:space="preserve">CLTV </t>
  </si>
  <si>
    <t>Under 90</t>
  </si>
  <si>
    <t>Max Line Draw</t>
  </si>
  <si>
    <t>Min FICO:</t>
  </si>
  <si>
    <t>DTI</t>
  </si>
  <si>
    <t>States:</t>
  </si>
  <si>
    <t>All</t>
  </si>
  <si>
    <t>Subproduct</t>
  </si>
  <si>
    <t>Piggyback - Primary</t>
  </si>
  <si>
    <t>Timestamp</t>
  </si>
  <si>
    <t>Geography</t>
  </si>
  <si>
    <t>Now:</t>
  </si>
  <si>
    <t>State Abv:</t>
  </si>
  <si>
    <t>State Name:</t>
  </si>
  <si>
    <t>Status</t>
  </si>
  <si>
    <t>Current CLTV-</t>
  </si>
  <si>
    <t>Current CLTV+</t>
  </si>
  <si>
    <t>Refinance/Other Eligible</t>
  </si>
  <si>
    <t>AK</t>
  </si>
  <si>
    <t>Alaska</t>
  </si>
  <si>
    <t>Yes</t>
  </si>
  <si>
    <t>No</t>
  </si>
  <si>
    <t>AL</t>
  </si>
  <si>
    <t>Alabama</t>
  </si>
  <si>
    <t>AR</t>
  </si>
  <si>
    <t>Arkansas</t>
  </si>
  <si>
    <t>AZ</t>
  </si>
  <si>
    <t>Arizona</t>
  </si>
  <si>
    <t>CA</t>
  </si>
  <si>
    <t>California</t>
  </si>
  <si>
    <t>Colorado</t>
  </si>
  <si>
    <t>CT</t>
  </si>
  <si>
    <t>Connecticut</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</si>
  <si>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</si>
  <si>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</si>
  <si>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</si>
  <si>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</si>
  <si>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</si>
  <si>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</si>
  <si>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</si>
  <si>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</si>
  <si>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</si>
  <si>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</si>
  <si>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</si>
  <si>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</si>
  <si>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</si>
  <si>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</si>
  <si>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</si>
  <si>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</si>
  <si>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</si>
  <si>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</si>
  <si>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</si>
  <si>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</si>
  <si>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</si>
  <si>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</si>
  <si>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</si>
  <si>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</si>
  <si>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</si>
  <si>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</si>
  <si>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</si>
  <si>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</si>
  <si>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</si>
  <si>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</si>
  <si>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</si>
  <si>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</si>
  <si>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</si>
  <si>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</si>
  <si>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</si>
  <si>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</si>
  <si>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</si>
  <si>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</si>
  <si>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</si>
  <si>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</si>
  <si>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</si>
  <si>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</si>
  <si>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</si>
  <si>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</si>
  <si>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</si>
  <si>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</si>
  <si>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</si>
  <si>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</si>
  <si>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</si>
  <si>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</si>
  <si>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</si>
  <si>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</si>
  <si>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</si>
  <si>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</si>
  <si>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</si>
  <si>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</si>
  <si>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</si>
  <si>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</si>
  <si>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</si>
  <si>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</si>
  <si>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</si>
  <si>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</si>
  <si>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</si>
  <si>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</si>
  <si>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</si>
  <si>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</si>
  <si>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</si>
  <si>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</si>
  <si>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</si>
  <si>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</si>
  <si>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</si>
  <si>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</si>
  <si>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</si>
  <si>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</si>
  <si>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</si>
  <si>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</si>
  <si>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</si>
  <si>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</si>
  <si>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</si>
  <si>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</si>
  <si>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</si>
  <si>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</si>
  <si>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</si>
  <si>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</si>
  <si>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Coming Soon</t>
  </si>
  <si>
    <t>WY</t>
  </si>
  <si>
    <t>Wyoming</t>
  </si>
  <si>
    <t>AS</t>
  </si>
  <si>
    <t>American Samoa</t>
  </si>
  <si>
    <t>DC</t>
  </si>
  <si>
    <t>District of Columbia</t>
  </si>
  <si>
    <t>FM</t>
  </si>
  <si>
    <t>Federated States of Micronesia</t>
  </si>
  <si>
    <t>GU</t>
  </si>
  <si>
    <t>Guam</t>
  </si>
  <si>
    <t>MH</t>
  </si>
  <si>
    <t>Marshall Islands</t>
  </si>
  <si>
    <t>MP</t>
  </si>
  <si>
    <t>Northern Mariana Islands</t>
  </si>
  <si>
    <t>PW</t>
  </si>
  <si>
    <t>Palau</t>
  </si>
  <si>
    <t>PR</t>
  </si>
  <si>
    <t>Puerto Rico</t>
  </si>
  <si>
    <t>VI</t>
  </si>
  <si>
    <t>Virgin Islands</t>
  </si>
  <si>
    <t>None</t>
  </si>
  <si>
    <t>Column1</t>
  </si>
  <si>
    <t>This week</t>
  </si>
  <si>
    <t>Month ago</t>
  </si>
  <si>
    <t>Year ago</t>
  </si>
  <si>
    <t>WSJ Prime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</si>
</sst>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0000%"/>
  </numFmts>
  <fonts count="48">
    <font>
      <sz val="11"/>
      <color theme="1"/>
      <name val="Calibri"/>
      <family val="2"/>
      <scheme val="minor"/>
    </font>
    <font>
      <sz val="11"/>
      <color theme="1"/>
      <name val="Calibri"/>
      <family val="2"/>
      <scheme val="minor"/>
    </font>
    <font>
      <u/>
      <sz val="11"/>
      <color theme="10"/>
      <name val="Calibri"/>
      <family val="2"/>
      <scheme val="minor"/>
    </font>
    <font>
      <b/>
      <sz val="10"/>
      <color theme="1"/>
      <name val="Cambria"/>
      <family val="1"/>
    </font>
    <font>
      <sz val="10"/>
      <color theme="1"/>
      <name val="Cambria"/>
      <family val="1"/>
    </font>
    <font>
      <b/>
      <sz val="10"/>
      <color theme="0"/>
      <name val="Cambria"/>
      <family val="1"/>
    </font>
    <font>
      <sz val="10"/>
      <color theme="0"/>
      <name val="Cambria"/>
      <family val="1"/>
    </font>
    <font>
      <sz val="10"/>
      <name val="Cambria"/>
      <family val="1"/>
    </font>
    <font>
      <b/>
      <sz val="10"/>
      <name val="Cambria"/>
      <family val="1"/>
    </font>
    <font>
      <sz val="8"/>
      <name val="Cambria"/>
      <family val="1"/>
    </font>
    <font>
      <sz val="8"/>
      <color theme="0"/>
      <name val="Cambria"/>
      <family val="1"/>
    </font>
    <font>
      <b/>
      <u/>
      <sz val="10"/>
      <color theme="1"/>
      <name val="Cambria"/>
      <family val="1"/>
    </font>
    <font>
      <b/>
      <u/>
      <sz val="10"/>
      <color rgb="FF082039"/>
      <name val="Cambria"/>
      <family val="1"/>
    </font>
    <font>
      <u/>
      <sz val="10"/>
      <color theme="1"/>
      <name val="Cambria"/>
      <family val="1"/>
    </font>
    <font>
      <b/>
      <sz val="12"/>
      <color theme="0"/>
      <name val="Cambria"/>
      <family val="1"/>
    </font>
    <font>
      <b/>
      <sz val="22"/>
      <color rgb="FF082039"/>
      <name val="Cambria"/>
      <family val="1"/>
    </font>
    <font>
      <b/>
      <sz val="9"/>
      <color theme="1"/>
      <name val="Cambria"/>
      <family val="1"/>
    </font>
    <font>
      <sz val="9"/>
      <color theme="1"/>
      <name val="Cambria"/>
      <family val="1"/>
    </font>
    <font>
      <sz val="10"/>
      <color rgb="FFFF0000"/>
      <name val="Cambria"/>
      <family val="1"/>
    </font>
    <font>
      <b/>
      <sz val="8"/>
      <color theme="0"/>
      <name val="Cambria"/>
      <family val="1"/>
    </font>
    <font>
      <b/>
      <u/>
      <sz val="10"/>
      <color rgb="FFC00000"/>
      <name val="Cambria"/>
      <family val="1"/>
    </font>
    <font>
      <i/>
      <sz val="8"/>
      <color theme="1"/>
      <name val="Cambria"/>
      <family val="1"/>
    </font>
    <font>
      <b/>
      <sz val="10"/>
      <color rgb="FF082039"/>
      <name val="Cambria"/>
      <family val="1"/>
    </font>
    <font>
      <sz val="11"/>
      <color theme="10"/>
      <name val="Calibri"/>
      <family val="2"/>
      <scheme val="minor"/>
    </font>
    <font>
      <b/>
      <sz val="12"/>
      <color theme="1"/>
      <name val="Wingdings 2"/>
      <family val="1"/>
      <charset val="2"/>
    </font>
    <font>
      <b/>
      <sz val="16"/>
      <color theme="0"/>
      <name val="Cambria"/>
      <family val="1"/>
    </font>
    <font>
      <b/>
      <sz val="12"/>
      <color rgb="FFC00000"/>
      <name val="Cambria"/>
      <family val="1"/>
    </font>
    <font>
      <b/>
      <sz val="12"/>
      <color rgb="FF082039"/>
      <name val="Cambria"/>
      <family val="1"/>
    </font>
    <font>
      <sz val="8"/>
      <color theme="1"/>
      <name val="Calibri"/>
      <family val="2"/>
      <scheme val="minor"/>
    </font>
    <font>
      <b/>
      <u/>
      <sz val="8"/>
      <color theme="1"/>
      <name val="Calibri"/>
      <family val="2"/>
      <scheme val="minor"/>
    </font>
    <font>
      <b/>
      <sz val="8"/>
      <color theme="1"/>
      <name val="Calibri"/>
      <family val="2"/>
      <scheme val="minor"/>
    </font>
    <font>
      <sz val="10"/>
      <color theme="1"/>
      <name val="Calibri"/>
      <family val="2"/>
      <scheme val="minor"/>
    </font>
    <font>
      <sz val="11"/>
      <color theme="1"/>
      <name val="Cambria"/>
      <family val="1"/>
    </font>
    <font>
      <b/>
      <sz val="11"/>
      <color theme="1"/>
      <name val="Cambria"/>
      <family val="1"/>
    </font>
    <font>
      <b/>
      <sz val="11"/>
      <color theme="1"/>
      <name val="Calibri"/>
      <family val="2"/>
      <scheme val="minor"/>
    </font>
    <font>
      <sz val="9"/>
      <name val="Cambria"/>
      <family val="1"/>
    </font>
    <font>
      <i/>
      <sz val="9"/>
      <color theme="1"/>
      <name val="Cambria"/>
      <family val="1"/>
    </font>
    <font>
      <b/>
      <i/>
      <sz val="8"/>
      <color theme="1"/>
      <name val="Calibri"/>
      <family val="2"/>
      <scheme val="minor"/>
    </font>
    <font>
      <sz val="8"/>
      <color rgb="FFFF0000"/>
      <name val="Cambria"/>
      <family val="1"/>
    </font>
    <font>
      <b/>
      <sz val="12"/>
      <color rgb="FF4F160F"/>
      <name val="Cambria"/>
      <family val="1"/>
    </font>
    <font>
      <i/>
      <sz val="8"/>
      <color rgb="FFFF0000"/>
      <name val="Cambria"/>
      <family val="1"/>
    </font>
    <font>
      <sz val="8"/>
      <color rgb="FFA50021"/>
      <name val="Cambria"/>
      <family val="1"/>
    </font>
    <font>
      <sz val="10"/>
      <color rgb="FFA50021"/>
      <name val="Cambria"/>
      <family val="1"/>
    </font>
    <font>
      <b/>
      <sz val="11"/>
      <color rgb="FF082039"/>
      <name val="Cambria"/>
      <family val="1"/>
    </font>
    <font>
      <b/>
      <sz val="8"/>
      <name val="Cambria"/>
      <family val="1"/>
    </font>
    <font>
      <b/>
      <sz val="12"/>
      <color theme="0"/>
      <name val="Verdana Pro Cond"/>
      <family val="2"/>
    </font>
    <font>
      <b/>
      <sz val="11"/>
      <color rgb="FFA50021"/>
      <name val="Cambria"/>
      <family val="1"/>
    </font>
    <font>
      <sz val="20"/>
      <color theme="1"/>
      <name val="Cambria"/>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F160F"/>
        <bgColor indexed="64"/>
      </patternFill>
    </fill>
    <fill>
      <patternFill patternType="solid">
        <fgColor rgb="FF08203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91">
    <xf numFmtId="0" fontId="0" fillId="0" borderId="0" xfId="0"/>
    <xf numFmtId="0" fontId="3" fillId="0" borderId="0" xfId="0" applyFont="1" applyAlignment="1">
      <alignment horizontal="center" vertical="center" wrapText="1"/>
    </xf>
    <xf numFmtId="0" fontId="4" fillId="3" borderId="0" xfId="0" applyFont="1" applyFill="1"/>
    <xf numFmtId="0" fontId="4" fillId="0" borderId="0" xfId="0" applyFont="1"/>
    <xf numFmtId="0" fontId="3" fillId="0" borderId="0" xfId="0" applyFont="1"/>
    <xf numFmtId="0" fontId="7" fillId="3" borderId="0" xfId="0" applyFont="1" applyFill="1"/>
    <xf numFmtId="2" fontId="8" fillId="0" borderId="0" xfId="0" applyNumberFormat="1" applyFont="1" applyAlignment="1">
      <alignment horizontal="right"/>
    </xf>
    <xf numFmtId="4" fontId="8" fillId="0" borderId="0" xfId="0" applyNumberFormat="1" applyFont="1" applyAlignment="1">
      <alignment horizontal="right"/>
    </xf>
    <xf numFmtId="0" fontId="5" fillId="0" borderId="0" xfId="0" applyFont="1" applyAlignment="1">
      <alignment horizontal="center"/>
    </xf>
    <xf numFmtId="0" fontId="4" fillId="0" borderId="0" xfId="0" applyFont="1" applyAlignment="1">
      <alignment wrapText="1"/>
    </xf>
    <xf numFmtId="0" fontId="3" fillId="0" borderId="0" xfId="0" applyFont="1" applyAlignment="1">
      <alignment horizontal="right"/>
    </xf>
    <xf numFmtId="0" fontId="3" fillId="3" borderId="0" xfId="0" applyFont="1" applyFill="1" applyAlignment="1">
      <alignment horizontal="right"/>
    </xf>
    <xf numFmtId="0" fontId="6" fillId="4" borderId="4" xfId="0" applyFont="1" applyFill="1" applyBorder="1"/>
    <xf numFmtId="8" fontId="4" fillId="0" borderId="0" xfId="0" applyNumberFormat="1" applyFont="1"/>
    <xf numFmtId="0" fontId="6" fillId="4" borderId="7" xfId="0" applyFont="1" applyFill="1" applyBorder="1"/>
    <xf numFmtId="0" fontId="14" fillId="4" borderId="5" xfId="0" applyFont="1" applyFill="1" applyBorder="1"/>
    <xf numFmtId="0" fontId="13" fillId="2" borderId="0" xfId="0" applyFont="1" applyFill="1"/>
    <xf numFmtId="0" fontId="3" fillId="2" borderId="0" xfId="0" applyFont="1" applyFill="1" applyAlignment="1">
      <alignment horizontal="right"/>
    </xf>
    <xf numFmtId="0" fontId="4" fillId="2" borderId="0" xfId="0" applyFont="1" applyFill="1"/>
    <xf numFmtId="10" fontId="3" fillId="2" borderId="0" xfId="0" applyNumberFormat="1" applyFont="1" applyFill="1" applyAlignment="1">
      <alignment horizontal="right"/>
    </xf>
    <xf numFmtId="9" fontId="3" fillId="2" borderId="0" xfId="2" applyFont="1" applyFill="1" applyBorder="1" applyAlignment="1">
      <alignment horizontal="left"/>
    </xf>
    <xf numFmtId="164" fontId="5" fillId="2" borderId="0" xfId="0" applyNumberFormat="1" applyFont="1" applyFill="1"/>
    <xf numFmtId="164" fontId="8" fillId="2" borderId="0" xfId="0" applyNumberFormat="1" applyFont="1" applyFill="1"/>
    <xf numFmtId="0" fontId="8" fillId="2" borderId="0" xfId="0" applyFont="1" applyFill="1" applyAlignment="1">
      <alignment horizontal="right"/>
    </xf>
    <xf numFmtId="0" fontId="4" fillId="2" borderId="0" xfId="0" applyFont="1" applyFill="1" applyAlignment="1">
      <alignment horizontal="right"/>
    </xf>
    <xf numFmtId="0" fontId="17" fillId="0" borderId="0" xfId="0" applyFont="1"/>
    <xf numFmtId="10" fontId="17" fillId="0" borderId="1" xfId="0" applyNumberFormat="1" applyFont="1" applyBorder="1"/>
    <xf numFmtId="0" fontId="17" fillId="0" borderId="0" xfId="0" applyFont="1" applyAlignment="1">
      <alignment wrapText="1"/>
    </xf>
    <xf numFmtId="8" fontId="3" fillId="2" borderId="0" xfId="0" applyNumberFormat="1" applyFont="1" applyFill="1"/>
    <xf numFmtId="8" fontId="5" fillId="5" borderId="1" xfId="0" applyNumberFormat="1" applyFont="1" applyFill="1" applyBorder="1"/>
    <xf numFmtId="0" fontId="3" fillId="0" borderId="0" xfId="0" applyFont="1" applyAlignment="1">
      <alignment horizontal="center"/>
    </xf>
    <xf numFmtId="0" fontId="2" fillId="0" borderId="0" xfId="3" applyBorder="1"/>
    <xf numFmtId="10" fontId="3" fillId="2" borderId="0" xfId="0" applyNumberFormat="1" applyFont="1" applyFill="1" applyAlignment="1">
      <alignment horizontal="left"/>
    </xf>
    <xf numFmtId="0" fontId="3" fillId="0" borderId="8" xfId="0" applyFont="1" applyBorder="1" applyAlignment="1">
      <alignment horizontal="right"/>
    </xf>
    <xf numFmtId="0" fontId="4" fillId="0" borderId="9" xfId="0" applyFont="1" applyBorder="1" applyAlignment="1">
      <alignment horizontal="right"/>
    </xf>
    <xf numFmtId="0" fontId="4" fillId="0" borderId="6" xfId="0" applyFont="1" applyBorder="1" applyAlignment="1">
      <alignment horizontal="right"/>
    </xf>
    <xf numFmtId="0" fontId="4" fillId="0" borderId="10" xfId="0" applyFont="1" applyBorder="1" applyAlignment="1">
      <alignment horizontal="right"/>
    </xf>
    <xf numFmtId="0" fontId="8" fillId="3" borderId="6" xfId="0" applyFont="1" applyFill="1" applyBorder="1"/>
    <xf numFmtId="0" fontId="3" fillId="3" borderId="11" xfId="0" applyFont="1" applyFill="1" applyBorder="1" applyAlignment="1">
      <alignment horizontal="right"/>
    </xf>
    <xf numFmtId="0" fontId="4" fillId="0" borderId="8" xfId="0" applyFont="1" applyBorder="1"/>
    <xf numFmtId="0" fontId="4" fillId="0" borderId="11" xfId="0" applyFont="1" applyBorder="1"/>
    <xf numFmtId="0" fontId="11" fillId="0" borderId="8" xfId="0" applyFont="1" applyBorder="1" applyAlignment="1">
      <alignment horizontal="right"/>
    </xf>
    <xf numFmtId="0" fontId="3" fillId="0" borderId="8" xfId="0" applyFont="1" applyBorder="1" applyAlignment="1">
      <alignment horizontal="right" wrapText="1"/>
    </xf>
    <xf numFmtId="0" fontId="7" fillId="0" borderId="11" xfId="0" applyFont="1" applyBorder="1"/>
    <xf numFmtId="0" fontId="3" fillId="2" borderId="8" xfId="0" applyFont="1" applyFill="1" applyBorder="1" applyAlignment="1">
      <alignment horizontal="right"/>
    </xf>
    <xf numFmtId="0" fontId="4" fillId="2" borderId="11" xfId="0" applyFont="1" applyFill="1" applyBorder="1"/>
    <xf numFmtId="165" fontId="3" fillId="2" borderId="11" xfId="2" applyNumberFormat="1" applyFont="1" applyFill="1" applyBorder="1" applyAlignment="1">
      <alignment horizontal="right"/>
    </xf>
    <xf numFmtId="165" fontId="8" fillId="2" borderId="11" xfId="2" applyNumberFormat="1" applyFont="1" applyFill="1" applyBorder="1" applyAlignment="1">
      <alignment horizontal="right"/>
    </xf>
    <xf numFmtId="0" fontId="9" fillId="2" borderId="1" xfId="0" applyFont="1" applyFill="1" applyBorder="1" applyAlignment="1">
      <alignment horizontal="center"/>
    </xf>
    <xf numFmtId="0" fontId="10" fillId="5" borderId="1" xfId="3" applyFont="1" applyFill="1" applyBorder="1" applyAlignment="1">
      <alignment horizontal="center"/>
    </xf>
    <xf numFmtId="0" fontId="20" fillId="2" borderId="0" xfId="0" applyFont="1" applyFill="1"/>
    <xf numFmtId="0" fontId="21" fillId="0" borderId="0" xfId="0" applyFont="1"/>
    <xf numFmtId="0" fontId="4" fillId="2" borderId="3" xfId="0" applyFont="1" applyFill="1" applyBorder="1"/>
    <xf numFmtId="0" fontId="3" fillId="2" borderId="3" xfId="0" applyFont="1" applyFill="1" applyBorder="1" applyAlignment="1">
      <alignment horizontal="left"/>
    </xf>
    <xf numFmtId="0" fontId="3" fillId="2" borderId="12" xfId="0" applyFont="1" applyFill="1" applyBorder="1" applyAlignment="1">
      <alignment horizontal="right"/>
    </xf>
    <xf numFmtId="0" fontId="8" fillId="2" borderId="3" xfId="0" quotePrefix="1" applyFont="1" applyFill="1" applyBorder="1" applyAlignment="1">
      <alignment horizontal="right"/>
    </xf>
    <xf numFmtId="0" fontId="8" fillId="2" borderId="3" xfId="0" applyFont="1" applyFill="1" applyBorder="1" applyAlignment="1">
      <alignment horizontal="left"/>
    </xf>
    <xf numFmtId="164" fontId="8" fillId="2" borderId="0" xfId="0" applyNumberFormat="1" applyFont="1" applyFill="1" applyAlignment="1">
      <alignment horizontal="right"/>
    </xf>
    <xf numFmtId="0" fontId="8" fillId="2" borderId="0" xfId="0" quotePrefix="1" applyFont="1" applyFill="1" applyAlignment="1">
      <alignment horizontal="right"/>
    </xf>
    <xf numFmtId="0" fontId="8" fillId="2" borderId="0" xfId="0" applyFont="1" applyFill="1" applyAlignment="1">
      <alignment horizontal="left"/>
    </xf>
    <xf numFmtId="0" fontId="3" fillId="2" borderId="11" xfId="0" applyFont="1" applyFill="1" applyBorder="1" applyAlignment="1">
      <alignment horizontal="center"/>
    </xf>
    <xf numFmtId="0" fontId="8" fillId="2" borderId="11" xfId="0" applyFont="1" applyFill="1" applyBorder="1" applyAlignment="1">
      <alignment horizontal="center"/>
    </xf>
    <xf numFmtId="0" fontId="3" fillId="3" borderId="0" xfId="0" applyFont="1" applyFill="1"/>
    <xf numFmtId="165" fontId="25" fillId="5" borderId="1" xfId="2" applyNumberFormat="1" applyFont="1" applyFill="1" applyBorder="1" applyAlignment="1">
      <alignment horizontal="right"/>
    </xf>
    <xf numFmtId="0" fontId="24" fillId="2" borderId="13" xfId="0" applyFont="1" applyFill="1" applyBorder="1" applyAlignment="1">
      <alignment horizontal="left"/>
    </xf>
    <xf numFmtId="0" fontId="24" fillId="2" borderId="0" xfId="0" applyFont="1" applyFill="1" applyAlignment="1">
      <alignment horizontal="left"/>
    </xf>
    <xf numFmtId="0" fontId="26" fillId="2" borderId="0" xfId="0" applyFont="1" applyFill="1"/>
    <xf numFmtId="0" fontId="28" fillId="0" borderId="0" xfId="0" applyFont="1"/>
    <xf numFmtId="0" fontId="30" fillId="0" borderId="0" xfId="0" applyFont="1"/>
    <xf numFmtId="0" fontId="7" fillId="2" borderId="11" xfId="0" applyFont="1" applyFill="1" applyBorder="1" applyAlignment="1">
      <alignment horizontal="center"/>
    </xf>
    <xf numFmtId="2" fontId="3" fillId="2" borderId="11" xfId="0" applyNumberFormat="1" applyFont="1" applyFill="1" applyBorder="1" applyAlignment="1">
      <alignment horizontal="right"/>
    </xf>
    <xf numFmtId="0" fontId="11" fillId="0" borderId="0" xfId="0" applyFont="1"/>
    <xf numFmtId="0" fontId="16" fillId="0" borderId="0" xfId="0" applyFont="1"/>
    <xf numFmtId="8" fontId="8" fillId="2" borderId="1" xfId="0" applyNumberFormat="1" applyFont="1" applyFill="1" applyBorder="1" applyProtection="1">
      <protection locked="0"/>
    </xf>
    <xf numFmtId="8" fontId="3" fillId="2" borderId="11" xfId="0" applyNumberFormat="1" applyFont="1" applyFill="1" applyBorder="1" applyAlignment="1">
      <alignment horizontal="right"/>
    </xf>
    <xf numFmtId="10" fontId="17" fillId="0" borderId="1" xfId="0" applyNumberFormat="1" applyFont="1" applyBorder="1" applyAlignment="1">
      <alignment horizontal="right"/>
    </xf>
    <xf numFmtId="0" fontId="30" fillId="0" borderId="0" xfId="0" applyFont="1" applyAlignment="1">
      <alignment horizontal="center"/>
    </xf>
    <xf numFmtId="0" fontId="33" fillId="0" borderId="1" xfId="0" applyFont="1" applyBorder="1" applyAlignment="1">
      <alignment horizontal="right"/>
    </xf>
    <xf numFmtId="0" fontId="34" fillId="0" borderId="1" xfId="0" applyFont="1" applyBorder="1" applyAlignment="1">
      <alignment horizontal="right"/>
    </xf>
    <xf numFmtId="0" fontId="0" fillId="0" borderId="0" xfId="0" applyAlignment="1">
      <alignment horizontal="right"/>
    </xf>
    <xf numFmtId="0" fontId="32" fillId="0" borderId="1" xfId="0" applyFont="1" applyBorder="1" applyAlignment="1">
      <alignment horizontal="right"/>
    </xf>
    <xf numFmtId="0" fontId="0" fillId="0" borderId="1" xfId="0" applyBorder="1" applyAlignment="1">
      <alignment horizontal="right"/>
    </xf>
    <xf numFmtId="0" fontId="32" fillId="0" borderId="1" xfId="0" applyFont="1" applyBorder="1" applyAlignment="1">
      <alignment horizontal="right" wrapText="1"/>
    </xf>
    <xf numFmtId="166" fontId="3" fillId="2" borderId="0" xfId="0" applyNumberFormat="1" applyFont="1" applyFill="1" applyAlignment="1">
      <alignment horizontal="right"/>
    </xf>
    <xf numFmtId="0" fontId="17" fillId="0" borderId="5" xfId="0" applyFont="1" applyBorder="1" applyAlignment="1">
      <alignment horizontal="center"/>
    </xf>
    <xf numFmtId="0" fontId="17" fillId="0" borderId="0" xfId="0" applyFont="1" applyAlignment="1">
      <alignment horizontal="center"/>
    </xf>
    <xf numFmtId="0" fontId="35" fillId="0" borderId="2" xfId="0" applyFont="1" applyBorder="1" applyAlignment="1">
      <alignment horizontal="center"/>
    </xf>
    <xf numFmtId="10" fontId="17" fillId="0" borderId="0" xfId="2" applyNumberFormat="1" applyFont="1"/>
    <xf numFmtId="10" fontId="16" fillId="0" borderId="1" xfId="2" applyNumberFormat="1" applyFont="1" applyBorder="1" applyAlignment="1">
      <alignment horizontal="center"/>
    </xf>
    <xf numFmtId="166" fontId="3" fillId="2" borderId="0" xfId="2" applyNumberFormat="1" applyFont="1" applyFill="1" applyBorder="1" applyAlignment="1">
      <alignment horizontal="right"/>
    </xf>
    <xf numFmtId="8" fontId="3" fillId="2" borderId="3" xfId="0" applyNumberFormat="1" applyFont="1" applyFill="1" applyBorder="1" applyAlignment="1">
      <alignment horizontal="right"/>
    </xf>
    <xf numFmtId="3" fontId="3" fillId="2" borderId="0" xfId="1" applyNumberFormat="1" applyFont="1" applyFill="1" applyBorder="1" applyAlignment="1">
      <alignment horizontal="right"/>
    </xf>
    <xf numFmtId="8" fontId="3" fillId="2" borderId="0" xfId="0" applyNumberFormat="1" applyFont="1" applyFill="1" applyAlignment="1">
      <alignment horizontal="right"/>
    </xf>
    <xf numFmtId="0" fontId="36" fillId="0" borderId="0" xfId="0" applyFont="1"/>
    <xf numFmtId="0" fontId="30" fillId="0" borderId="1" xfId="0" applyFont="1" applyBorder="1"/>
    <xf numFmtId="0" fontId="28" fillId="0" borderId="1" xfId="0" applyFont="1" applyBorder="1"/>
    <xf numFmtId="0" fontId="30" fillId="0" borderId="1" xfId="0" applyFont="1" applyBorder="1" applyAlignment="1">
      <alignment horizontal="center"/>
    </xf>
    <xf numFmtId="22" fontId="28" fillId="0" borderId="0" xfId="0" applyNumberFormat="1" applyFont="1" applyAlignment="1">
      <alignment horizontal="center"/>
    </xf>
    <xf numFmtId="164" fontId="5" fillId="5" borderId="3" xfId="0" quotePrefix="1" applyNumberFormat="1" applyFont="1" applyFill="1" applyBorder="1" applyAlignment="1">
      <alignment horizontal="center" vertical="center"/>
    </xf>
    <xf numFmtId="0" fontId="5" fillId="5" borderId="3" xfId="0" applyFont="1" applyFill="1" applyBorder="1" applyAlignment="1">
      <alignment horizontal="left" vertical="center"/>
    </xf>
    <xf numFmtId="0" fontId="6"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18" fillId="2" borderId="0" xfId="0" applyFont="1" applyFill="1" applyAlignment="1">
      <alignment horizontal="left"/>
    </xf>
    <xf numFmtId="0" fontId="5" fillId="0" borderId="0" xfId="0" applyFont="1"/>
    <xf numFmtId="0" fontId="17" fillId="0" borderId="1" xfId="0" applyFont="1" applyBorder="1" applyAlignment="1">
      <alignment horizontal="center" wrapText="1"/>
    </xf>
    <xf numFmtId="0" fontId="38" fillId="2" borderId="8" xfId="0" quotePrefix="1" applyFont="1" applyFill="1" applyBorder="1" applyAlignment="1">
      <alignment horizontal="left" indent="2"/>
    </xf>
    <xf numFmtId="0" fontId="18" fillId="2" borderId="8" xfId="0" applyFont="1" applyFill="1" applyBorder="1"/>
    <xf numFmtId="0" fontId="37" fillId="0" borderId="0" xfId="0" applyFont="1" applyAlignment="1">
      <alignment horizontal="center"/>
    </xf>
    <xf numFmtId="0" fontId="37" fillId="6" borderId="0" xfId="0" applyFont="1" applyFill="1" applyAlignment="1">
      <alignment horizontal="center"/>
    </xf>
    <xf numFmtId="0" fontId="37" fillId="6" borderId="0" xfId="0" applyFont="1" applyFill="1"/>
    <xf numFmtId="0" fontId="30" fillId="6" borderId="1" xfId="0" applyFont="1" applyFill="1" applyBorder="1"/>
    <xf numFmtId="9" fontId="3" fillId="2" borderId="0" xfId="0" applyNumberFormat="1" applyFont="1" applyFill="1" applyAlignment="1">
      <alignment horizontal="right"/>
    </xf>
    <xf numFmtId="164" fontId="3" fillId="2" borderId="0" xfId="0" applyNumberFormat="1" applyFont="1" applyFill="1"/>
    <xf numFmtId="164" fontId="3" fillId="2" borderId="0" xfId="2" applyNumberFormat="1" applyFont="1" applyFill="1" applyBorder="1" applyAlignment="1">
      <alignment horizontal="right"/>
    </xf>
    <xf numFmtId="0" fontId="22" fillId="0" borderId="0" xfId="0" applyFont="1" applyAlignment="1">
      <alignment horizontal="right"/>
    </xf>
    <xf numFmtId="0" fontId="3" fillId="2" borderId="0" xfId="0" applyFont="1" applyFill="1" applyAlignment="1">
      <alignment horizontal="left"/>
    </xf>
    <xf numFmtId="14" fontId="7" fillId="2" borderId="5" xfId="0" applyNumberFormat="1" applyFont="1" applyFill="1" applyBorder="1" applyAlignment="1" applyProtection="1">
      <alignment horizontal="left"/>
      <protection locked="0"/>
    </xf>
    <xf numFmtId="14" fontId="7" fillId="2" borderId="7" xfId="0" applyNumberFormat="1" applyFont="1" applyFill="1" applyBorder="1" applyAlignment="1" applyProtection="1">
      <alignment horizontal="left"/>
      <protection locked="0"/>
    </xf>
    <xf numFmtId="0" fontId="40" fillId="0" borderId="0" xfId="0" applyFont="1"/>
    <xf numFmtId="0" fontId="41" fillId="0" borderId="0" xfId="0" quotePrefix="1" applyFont="1" applyAlignment="1">
      <alignment horizontal="left" indent="2"/>
    </xf>
    <xf numFmtId="0" fontId="42" fillId="0" borderId="0" xfId="0" applyFont="1"/>
    <xf numFmtId="8" fontId="3" fillId="2" borderId="11" xfId="4" applyNumberFormat="1" applyFont="1" applyFill="1" applyBorder="1" applyAlignment="1">
      <alignment horizontal="right"/>
    </xf>
    <xf numFmtId="165" fontId="8" fillId="2" borderId="13" xfId="2" applyNumberFormat="1" applyFont="1" applyFill="1" applyBorder="1" applyAlignment="1">
      <alignment horizontal="right"/>
    </xf>
    <xf numFmtId="0" fontId="45" fillId="5" borderId="13" xfId="0" applyFont="1" applyFill="1" applyBorder="1" applyAlignment="1">
      <alignment horizontal="left" vertical="center"/>
    </xf>
    <xf numFmtId="8" fontId="3" fillId="2" borderId="11" xfId="0" applyNumberFormat="1" applyFont="1" applyFill="1" applyBorder="1"/>
    <xf numFmtId="0" fontId="17" fillId="0" borderId="11" xfId="0" applyFont="1" applyBorder="1" applyAlignment="1">
      <alignment horizontal="center" vertical="center"/>
    </xf>
    <xf numFmtId="10" fontId="17" fillId="0" borderId="15" xfId="0" applyNumberFormat="1" applyFont="1" applyBorder="1"/>
    <xf numFmtId="10" fontId="16" fillId="0" borderId="15" xfId="2" applyNumberFormat="1" applyFont="1" applyBorder="1" applyAlignment="1">
      <alignment horizontal="center"/>
    </xf>
    <xf numFmtId="0" fontId="17" fillId="0" borderId="1" xfId="0" applyFont="1" applyBorder="1" applyAlignment="1">
      <alignment horizontal="center"/>
    </xf>
    <xf numFmtId="0" fontId="17" fillId="0" borderId="20" xfId="0" applyFont="1" applyBorder="1" applyAlignment="1">
      <alignment horizontal="center" vertical="center"/>
    </xf>
    <xf numFmtId="0" fontId="17" fillId="0" borderId="15" xfId="0" applyFont="1" applyBorder="1" applyAlignment="1">
      <alignment horizontal="center" vertical="center"/>
    </xf>
    <xf numFmtId="10" fontId="3" fillId="2" borderId="0" xfId="0" applyNumberFormat="1" applyFont="1" applyFill="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0" fontId="8" fillId="2" borderId="0" xfId="0" quotePrefix="1" applyNumberFormat="1" applyFont="1" applyFill="1" applyAlignment="1">
      <alignment horizontal="left"/>
    </xf>
    <xf numFmtId="10" fontId="8" fillId="2" borderId="0" xfId="0" applyNumberFormat="1" applyFont="1" applyFill="1" applyAlignment="1">
      <alignment horizontal="left"/>
    </xf>
    <xf numFmtId="0" fontId="17" fillId="0" borderId="1" xfId="0" quotePrefix="1" applyFont="1" applyBorder="1" applyAlignment="1">
      <alignment wrapText="1"/>
    </xf>
    <xf numFmtId="10" fontId="17" fillId="8" borderId="1" xfId="0" quotePrefix="1" applyNumberFormat="1" applyFont="1" applyFill="1" applyBorder="1" applyAlignment="1" applyProtection="1">
      <alignment wrapText="1"/>
      <protection locked="0"/>
    </xf>
    <xf numFmtId="10" fontId="35" fillId="8" borderId="1" xfId="2" applyNumberFormat="1" applyFont="1" applyFill="1" applyBorder="1" applyAlignment="1" applyProtection="1">
      <alignment horizontal="right"/>
    </xf>
    <xf numFmtId="10" fontId="17" fillId="8" borderId="1" xfId="0" quotePrefix="1" applyNumberFormat="1" applyFont="1" applyFill="1" applyBorder="1" applyAlignment="1">
      <alignment wrapText="1"/>
    </xf>
    <xf numFmtId="10" fontId="17" fillId="0" borderId="0" xfId="0" applyNumberFormat="1" applyFont="1"/>
    <xf numFmtId="165" fontId="8" fillId="2" borderId="5" xfId="2" applyNumberFormat="1" applyFont="1" applyFill="1" applyBorder="1" applyAlignment="1" applyProtection="1">
      <alignment horizontal="left"/>
      <protection locked="0"/>
    </xf>
    <xf numFmtId="8" fontId="7" fillId="2" borderId="5" xfId="1" applyNumberFormat="1" applyFont="1" applyFill="1" applyBorder="1" applyAlignment="1" applyProtection="1">
      <alignment horizontal="left"/>
      <protection locked="0"/>
    </xf>
    <xf numFmtId="0" fontId="7" fillId="2" borderId="5" xfId="0" applyFont="1" applyFill="1" applyBorder="1" applyAlignment="1" applyProtection="1">
      <alignment horizontal="left"/>
      <protection locked="0"/>
    </xf>
    <xf numFmtId="10" fontId="8" fillId="2" borderId="11" xfId="2" applyNumberFormat="1" applyFont="1" applyFill="1" applyBorder="1" applyAlignment="1">
      <alignment horizontal="right"/>
    </xf>
    <xf numFmtId="8" fontId="7" fillId="2" borderId="7" xfId="1" applyNumberFormat="1" applyFont="1" applyFill="1" applyBorder="1" applyAlignment="1" applyProtection="1">
      <protection locked="0"/>
    </xf>
    <xf numFmtId="165" fontId="8" fillId="2" borderId="7" xfId="2" applyNumberFormat="1" applyFont="1" applyFill="1" applyBorder="1" applyAlignment="1" applyProtection="1">
      <protection locked="0"/>
    </xf>
    <xf numFmtId="0" fontId="7" fillId="2" borderId="5" xfId="0" applyFont="1" applyFill="1" applyBorder="1" applyProtection="1">
      <protection locked="0"/>
    </xf>
    <xf numFmtId="0" fontId="7" fillId="2" borderId="7" xfId="0" applyFont="1" applyFill="1" applyBorder="1" applyProtection="1">
      <protection locked="0"/>
    </xf>
    <xf numFmtId="10" fontId="47" fillId="9" borderId="0" xfId="0" applyNumberFormat="1" applyFont="1" applyFill="1"/>
    <xf numFmtId="0" fontId="43" fillId="2" borderId="9" xfId="0" applyFont="1" applyFill="1" applyBorder="1" applyAlignment="1">
      <alignment horizontal="center"/>
    </xf>
    <xf numFmtId="0" fontId="43" fillId="2" borderId="6" xfId="0" applyFont="1" applyFill="1" applyBorder="1" applyAlignment="1">
      <alignment horizontal="center"/>
    </xf>
    <xf numFmtId="8" fontId="7" fillId="2" borderId="5" xfId="1" applyNumberFormat="1" applyFont="1" applyFill="1" applyBorder="1" applyAlignment="1" applyProtection="1">
      <alignment horizontal="left"/>
      <protection locked="0"/>
    </xf>
    <xf numFmtId="8" fontId="7" fillId="2" borderId="7" xfId="1" applyNumberFormat="1" applyFont="1" applyFill="1" applyBorder="1" applyAlignment="1" applyProtection="1">
      <alignment horizontal="left"/>
      <protection locked="0"/>
    </xf>
    <xf numFmtId="0" fontId="3" fillId="2" borderId="8" xfId="0" applyFont="1" applyFill="1" applyBorder="1" applyAlignment="1">
      <alignment horizontal="left"/>
    </xf>
    <xf numFmtId="0" fontId="3" fillId="2" borderId="0" xfId="0" applyFont="1" applyFill="1" applyAlignment="1">
      <alignment horizontal="left"/>
    </xf>
    <xf numFmtId="0" fontId="23" fillId="2" borderId="12" xfId="3" applyFont="1" applyFill="1" applyBorder="1" applyAlignment="1">
      <alignment horizontal="right"/>
    </xf>
    <xf numFmtId="0" fontId="23" fillId="2" borderId="3" xfId="3" applyFont="1" applyFill="1" applyBorder="1" applyAlignment="1">
      <alignment horizontal="right"/>
    </xf>
    <xf numFmtId="0" fontId="22" fillId="2" borderId="3" xfId="0" applyFont="1" applyFill="1" applyBorder="1" applyAlignment="1">
      <alignment horizontal="right"/>
    </xf>
    <xf numFmtId="0" fontId="27" fillId="2" borderId="8" xfId="0" applyFont="1" applyFill="1" applyBorder="1" applyAlignment="1">
      <alignment horizontal="center"/>
    </xf>
    <xf numFmtId="0" fontId="27" fillId="2" borderId="0" xfId="0" applyFont="1" applyFill="1" applyAlignment="1">
      <alignment horizontal="center"/>
    </xf>
    <xf numFmtId="0" fontId="31" fillId="2" borderId="1" xfId="0" applyFont="1" applyFill="1" applyBorder="1" applyAlignment="1" applyProtection="1">
      <alignment horizontal="left"/>
      <protection locked="0"/>
    </xf>
    <xf numFmtId="0" fontId="2" fillId="2" borderId="1" xfId="3" applyFill="1" applyBorder="1" applyAlignment="1" applyProtection="1">
      <alignment horizontal="left"/>
      <protection locked="0"/>
    </xf>
    <xf numFmtId="0" fontId="7" fillId="2" borderId="5"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14" fontId="7" fillId="2" borderId="5" xfId="0" applyNumberFormat="1" applyFont="1" applyFill="1" applyBorder="1" applyAlignment="1" applyProtection="1">
      <alignment horizontal="left"/>
      <protection locked="0"/>
    </xf>
    <xf numFmtId="14" fontId="7" fillId="2" borderId="7" xfId="0" applyNumberFormat="1" applyFont="1" applyFill="1" applyBorder="1" applyAlignment="1" applyProtection="1">
      <alignment horizontal="left"/>
      <protection locked="0"/>
    </xf>
    <xf numFmtId="0" fontId="15" fillId="0" borderId="6" xfId="0" applyFont="1" applyBorder="1" applyAlignment="1">
      <alignment horizontal="left" wrapText="1"/>
    </xf>
    <xf numFmtId="0" fontId="12" fillId="2" borderId="0" xfId="0" applyFont="1" applyFill="1" applyAlignment="1">
      <alignment horizontal="right"/>
    </xf>
    <xf numFmtId="10" fontId="8" fillId="2" borderId="0" xfId="0" quotePrefix="1" applyNumberFormat="1" applyFont="1" applyFill="1" applyAlignment="1">
      <alignment horizontal="left"/>
    </xf>
    <xf numFmtId="10" fontId="8" fillId="2" borderId="0" xfId="0" applyNumberFormat="1" applyFont="1" applyFill="1" applyAlignment="1">
      <alignment horizontal="left"/>
    </xf>
    <xf numFmtId="10" fontId="8" fillId="2" borderId="3" xfId="0" quotePrefix="1" applyNumberFormat="1" applyFont="1" applyFill="1" applyBorder="1" applyAlignment="1">
      <alignment horizontal="left"/>
    </xf>
    <xf numFmtId="10" fontId="8" fillId="2" borderId="3" xfId="0" applyNumberFormat="1" applyFont="1" applyFill="1" applyBorder="1" applyAlignment="1">
      <alignment horizontal="left"/>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6" fillId="7" borderId="18" xfId="0" applyFont="1" applyFill="1" applyBorder="1" applyAlignment="1">
      <alignment horizontal="left" vertical="top" wrapText="1"/>
    </xf>
    <xf numFmtId="0" fontId="18" fillId="2" borderId="8" xfId="0" quotePrefix="1" applyFont="1" applyFill="1" applyBorder="1" applyAlignment="1">
      <alignment horizontal="left" vertical="top" wrapText="1"/>
    </xf>
    <xf numFmtId="0" fontId="18" fillId="2" borderId="0" xfId="0" quotePrefix="1" applyFont="1" applyFill="1" applyAlignment="1">
      <alignment horizontal="left" vertical="top" wrapText="1"/>
    </xf>
    <xf numFmtId="10" fontId="8" fillId="2" borderId="11" xfId="0" applyNumberFormat="1" applyFont="1" applyFill="1" applyBorder="1" applyAlignment="1">
      <alignment horizontal="left"/>
    </xf>
    <xf numFmtId="10" fontId="44" fillId="2" borderId="0" xfId="0" applyNumberFormat="1" applyFont="1" applyFill="1" applyAlignment="1">
      <alignment horizontal="left"/>
    </xf>
    <xf numFmtId="0" fontId="16" fillId="0" borderId="6" xfId="0" applyFont="1" applyBorder="1" applyAlignment="1">
      <alignment horizontal="center"/>
    </xf>
    <xf numFmtId="0" fontId="17" fillId="0" borderId="14"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29" fillId="0" borderId="0" xfId="0" applyFont="1" applyAlignment="1">
      <alignment horizontal="center"/>
    </xf>
    <xf numFmtId="0" fontId="30" fillId="0" borderId="0" xfId="0" applyFont="1" applyAlignment="1">
      <alignment horizontal="center"/>
    </xf>
  </cellXfs>
  <cellStyles count="5">
    <cellStyle name="Comma" xfId="1" builtinId="3"/>
    <cellStyle name="Currency" xfId="4" builtinId="4"/>
    <cellStyle name="Hyperlink" xfId="3" builtinId="8"/>
    <cellStyle name="Normal" xfId="0" builtinId="0"/>
    <cellStyle name="Percent" xfId="2" builtinId="5"/>
  </cellStyles>
  <dxfs count="3">
    <dxf>
      <numFmt numFmtId="0" formatCode="General"/>
    </dxf>
    <dxf>
      <font>
        <b/>
        <i val="0"/>
        <color theme="9" tint="-0.24994659260841701"/>
      </font>
      <fill>
        <patternFill>
          <bgColor theme="0" tint="-4.9989318521683403E-2"/>
        </patternFill>
      </fill>
    </dxf>
    <dxf>
      <font>
        <b/>
        <i val="0"/>
        <color rgb="FFFF0000"/>
      </font>
      <fill>
        <patternFill>
          <bgColor theme="0" tint="-4.9989318521683403E-2"/>
        </patternFill>
      </fill>
    </dxf>
  </dxfs>
  <tableStyles count="0" defaultTableStyle="TableStyleMedium2" defaultPivotStyle="PivotStyleLight16"/>
  <colors>
    <mruColors>
      <color rgb="FFA50021"/>
      <color rgb="FF4F160F"/>
      <color rgb="FF08203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56029</xdr:rowOff>
    </xdr:from>
    <xdr:to>
      <xdr:col>1</xdr:col>
      <xdr:colOff>812984</xdr:colOff>
      <xdr:row>5</xdr:row>
      <xdr:rowOff>97680</xdr:rowOff>
    </xdr:to>
    <xdr:pic>
      <xdr:nvPicPr>
        <xdr:cNvPr id="3" name="Picture 2">
          <a:extLst>
            <a:ext uri="{FF2B5EF4-FFF2-40B4-BE49-F238E27FC236}">
              <a16:creationId xmlns:a16="http://schemas.microsoft.com/office/drawing/2014/main" id="{DEFC34BC-185A-4CE0-A38D-AE471ACD89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9721"/>
          <a:ext cx="3009716" cy="739589"/>
        </a:xfrm>
        <a:prstGeom prst="rect">
          <a:avLst/>
        </a:prstGeom>
      </xdr:spPr>
    </xdr:pic>
    <xdr:clientData/>
  </xdr:twoCellAnchor>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5">
    <queryTableFields count="4">
      <queryTableField id="1" name="Column1" tableColumnId="1"/>
      <queryTableField id="2" name="This week" tableColumnId="2"/>
      <queryTableField id="3" name="Month ago" tableColumnId="3"/>
      <queryTableField id="4" name="Year ago"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Prime_rate__federal_funds_rate__COFI__Updated__01_07_2020" displayName="Prime_rate__federal_funds_rate__COFI__Updated__01_07_2020" ref="A1:D2" tableType="queryTable" totalsRowShown="0">
  <autoFilter ref="A1:D2"/>
  <tableColumns count="4">
    <tableColumn id="1" uniqueName="1" name="Column1" queryTableFieldId="1" dataDxfId="0"/>
    <tableColumn id="2" uniqueName="2" name="This week" queryTableFieldId="2"/>
    <tableColumn id="3" uniqueName="3" name="Month ago" queryTableFieldId="3"/>
    <tableColumn id="4" uniqueName="4" name="Year ago" queryTableField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symmetrylending.com" TargetMode="External"/><Relationship Id="rId2" Type="http://schemas.openxmlformats.org/officeDocument/2006/relationships/hyperlink" Target="http://symmetrylending.com/forms" TargetMode="External"/><Relationship Id="rId1" Type="http://schemas.openxmlformats.org/officeDocument/2006/relationships/hyperlink" Target="http://symmetrylending.com/forms"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showGridLines="0" showRowColHeaders="0" tabSelected="1" zoomScale="85" zoomScaleNormal="85" zoomScaleSheetLayoutView="85" zoomScalePageLayoutView="85" workbookViewId="0">
      <pane ySplit="9" topLeftCell="A50" activePane="bottomLeft" state="frozen"/>
      <selection pane="bottomLeft" activeCell="AA79" sqref="AA79"/>
    </sheetView>
  </sheetViews>
  <sheetFormatPr defaultColWidth="9" defaultRowHeight="13.5" customHeight="1"/>
  <cols>
    <col min="1" max="1" width="30" style="3" customWidth="1"/>
    <col min="2" max="2" width="17.7109375" style="3" bestFit="1" customWidth="1"/>
    <col min="3" max="3" width="13.7109375" style="3" customWidth="1"/>
    <col min="4" max="4" width="3.85546875" style="3" customWidth="1"/>
    <col min="5" max="5" width="20.85546875" style="3" customWidth="1"/>
    <col min="6" max="6" width="19.140625" style="3" bestFit="1" customWidth="1"/>
    <col min="7" max="7" width="15.85546875" style="3" customWidth="1"/>
    <col min="8" max="8" width="6" style="4" customWidth="1"/>
    <col min="9" max="9" width="28.85546875" style="3" customWidth="1"/>
    <col min="10" max="15" width="9" style="3" hidden="1" customWidth="1"/>
    <col min="16" max="16" width="23.28515625" style="3" hidden="1" customWidth="1"/>
    <col min="17" max="19" width="9" style="3" hidden="1" customWidth="1"/>
    <col min="20" max="21" width="0" style="3" hidden="1" customWidth="1"/>
    <col min="22" max="16384" width="9" style="3"/>
  </cols>
  <sheetData>
    <row r="1" spans="1:16" ht="4.5" customHeight="1">
      <c r="H1" s="62"/>
      <c r="I1" s="2"/>
    </row>
    <row r="2" spans="1:16" ht="13.5" customHeight="1">
      <c r="A2" s="4"/>
      <c r="H2" s="62"/>
      <c r="I2" s="30" t="s">
        <v>0</v>
      </c>
      <c r="K2" s="71" t="s">
        <v>1</v>
      </c>
      <c r="N2" s="71"/>
    </row>
    <row r="3" spans="1:16" ht="13.5" customHeight="1">
      <c r="A3" s="4"/>
      <c r="E3" s="11" t="s">
        <v>2</v>
      </c>
      <c r="F3" s="163"/>
      <c r="G3" s="163"/>
      <c r="H3" s="62"/>
      <c r="I3" s="48" t="s">
        <v>3</v>
      </c>
      <c r="K3" s="31" t="s">
        <v>4</v>
      </c>
    </row>
    <row r="4" spans="1:16" ht="13.5" customHeight="1">
      <c r="A4" s="4"/>
      <c r="E4" s="11" t="s">
        <v>5</v>
      </c>
      <c r="F4" s="163"/>
      <c r="G4" s="163"/>
      <c r="I4" s="49" t="s">
        <v>6</v>
      </c>
      <c r="K4" s="31" t="s">
        <v>7</v>
      </c>
    </row>
    <row r="5" spans="1:16" ht="13.5" customHeight="1">
      <c r="A5" s="4"/>
      <c r="E5" s="11" t="s">
        <v>8</v>
      </c>
      <c r="F5" s="164"/>
      <c r="G5" s="163"/>
      <c r="K5" s="31" t="s">
        <v>9</v>
      </c>
    </row>
    <row r="6" spans="1:16" ht="13.5" customHeight="1">
      <c r="A6" s="4"/>
    </row>
    <row r="7" spans="1:16" ht="13.5" customHeight="1">
      <c r="A7" s="4"/>
    </row>
    <row r="8" spans="1:16" ht="60.75" customHeight="1">
      <c r="A8" s="169" t="s">
        <v>10</v>
      </c>
      <c r="B8" s="169"/>
      <c r="C8" s="169"/>
      <c r="D8" s="169"/>
      <c r="E8" s="169"/>
      <c r="F8" s="169"/>
      <c r="G8" s="169"/>
    </row>
    <row r="9" spans="1:16" ht="15" customHeight="1">
      <c r="A9" s="15" t="s">
        <v>11</v>
      </c>
      <c r="B9" s="12"/>
      <c r="C9" s="12"/>
      <c r="D9" s="12"/>
      <c r="E9" s="12"/>
      <c r="F9" s="12"/>
      <c r="G9" s="14"/>
      <c r="J9" s="9"/>
      <c r="K9" s="9"/>
      <c r="L9" s="9"/>
      <c r="M9" s="9"/>
      <c r="N9" s="9"/>
      <c r="O9" s="9"/>
      <c r="P9" s="9"/>
    </row>
    <row r="10" spans="1:16" ht="13.5" customHeight="1">
      <c r="A10" s="33" t="s">
        <v>12</v>
      </c>
      <c r="B10" s="165"/>
      <c r="C10" s="166"/>
      <c r="E10" s="10" t="s">
        <v>13</v>
      </c>
      <c r="F10" s="165"/>
      <c r="G10" s="166"/>
    </row>
    <row r="11" spans="1:16" ht="13.5" customHeight="1">
      <c r="A11" s="33" t="s">
        <v>14</v>
      </c>
      <c r="B11" s="145"/>
      <c r="C11" s="150"/>
      <c r="E11" s="10" t="s">
        <v>14</v>
      </c>
      <c r="F11" s="165"/>
      <c r="G11" s="166"/>
    </row>
    <row r="12" spans="1:16" ht="13.5" customHeight="1">
      <c r="A12" s="33" t="s">
        <v>15</v>
      </c>
      <c r="B12" s="144"/>
      <c r="C12" s="147"/>
      <c r="E12" s="10" t="s">
        <v>15</v>
      </c>
      <c r="F12" s="154"/>
      <c r="G12" s="155"/>
    </row>
    <row r="13" spans="1:16" ht="13.5" customHeight="1">
      <c r="A13" s="34"/>
      <c r="B13" s="35"/>
      <c r="C13" s="35"/>
      <c r="D13" s="35"/>
      <c r="E13" s="35"/>
      <c r="F13" s="35"/>
      <c r="G13" s="36"/>
    </row>
    <row r="14" spans="1:16" ht="13.5" customHeight="1">
      <c r="A14" s="15" t="s">
        <v>16</v>
      </c>
      <c r="B14" s="12"/>
      <c r="C14" s="12"/>
      <c r="D14" s="12"/>
      <c r="E14" s="12"/>
      <c r="F14" s="12"/>
      <c r="G14" s="14"/>
    </row>
    <row r="15" spans="1:16" ht="13.5" customHeight="1">
      <c r="A15" s="33" t="s">
        <v>17</v>
      </c>
      <c r="B15" s="149" t="s">
        <v>18</v>
      </c>
      <c r="C15" s="150"/>
      <c r="D15" s="5"/>
      <c r="E15" s="11" t="s">
        <v>19</v>
      </c>
      <c r="F15" s="165"/>
      <c r="G15" s="166"/>
    </row>
    <row r="16" spans="1:16" ht="13.5" customHeight="1">
      <c r="A16" s="33" t="s">
        <v>20</v>
      </c>
      <c r="B16" s="149"/>
      <c r="C16" s="150"/>
      <c r="D16" s="5"/>
      <c r="E16" s="11" t="s">
        <v>21</v>
      </c>
      <c r="F16" s="167"/>
      <c r="G16" s="168"/>
    </row>
    <row r="17" spans="1:9" ht="13.5" customHeight="1">
      <c r="A17" s="33" t="s">
        <v>22</v>
      </c>
      <c r="B17" s="149"/>
      <c r="C17" s="150"/>
      <c r="D17" s="5"/>
      <c r="E17" s="11" t="s">
        <v>23</v>
      </c>
      <c r="F17" s="167"/>
      <c r="G17" s="168"/>
    </row>
    <row r="18" spans="1:9" ht="13.5" customHeight="1">
      <c r="A18" s="33" t="s">
        <v>24</v>
      </c>
      <c r="B18" s="149"/>
      <c r="C18" s="150"/>
      <c r="D18" s="37"/>
      <c r="E18" s="11" t="s">
        <v>25</v>
      </c>
      <c r="F18" s="118"/>
      <c r="G18" s="119"/>
    </row>
    <row r="19" spans="1:9" ht="13.5" customHeight="1">
      <c r="A19" s="15" t="s">
        <v>26</v>
      </c>
      <c r="B19" s="12"/>
      <c r="C19" s="12"/>
      <c r="D19" s="12"/>
      <c r="E19" s="12"/>
      <c r="F19" s="12"/>
      <c r="G19" s="14"/>
    </row>
    <row r="20" spans="1:9" ht="13.5" customHeight="1">
      <c r="A20" s="33" t="s">
        <v>27</v>
      </c>
      <c r="B20" s="144"/>
      <c r="C20" s="147"/>
      <c r="E20" s="11" t="s">
        <v>28</v>
      </c>
      <c r="F20" s="144"/>
      <c r="G20" s="147"/>
    </row>
    <row r="21" spans="1:9" ht="13.5" customHeight="1">
      <c r="A21" s="33" t="s">
        <v>29</v>
      </c>
      <c r="B21" s="154"/>
      <c r="C21" s="155"/>
      <c r="E21" s="11" t="s">
        <v>30</v>
      </c>
      <c r="F21" s="144"/>
      <c r="G21" s="147"/>
      <c r="I21" s="120" t="str">
        <f>IF(F21&gt;F20,"Advance can't be greater than the Line Amount","")</f>
        <v/>
      </c>
    </row>
    <row r="22" spans="1:9" ht="13.5" customHeight="1">
      <c r="A22" s="33" t="s">
        <v>31</v>
      </c>
      <c r="B22" s="143">
        <v>3.2500000000000001E-2</v>
      </c>
      <c r="C22" s="148"/>
      <c r="E22" s="11"/>
      <c r="F22" s="11"/>
      <c r="G22" s="38"/>
      <c r="H22" s="11"/>
    </row>
    <row r="23" spans="1:9" ht="13.5" customHeight="1">
      <c r="A23" s="39"/>
      <c r="G23" s="40"/>
    </row>
    <row r="24" spans="1:9" ht="13.5" customHeight="1">
      <c r="A24" s="15" t="s">
        <v>32</v>
      </c>
      <c r="B24" s="12"/>
      <c r="C24" s="12"/>
      <c r="D24" s="12"/>
      <c r="E24" s="12"/>
      <c r="F24" s="12"/>
      <c r="G24" s="14"/>
    </row>
    <row r="25" spans="1:9" ht="13.5" customHeight="1">
      <c r="A25" s="39"/>
      <c r="G25" s="40"/>
    </row>
    <row r="26" spans="1:9" ht="40.5" customHeight="1">
      <c r="A26" s="41" t="s">
        <v>33</v>
      </c>
      <c r="B26" s="1" t="s">
        <v>34</v>
      </c>
      <c r="C26" s="1" t="s">
        <v>35</v>
      </c>
      <c r="D26" s="4"/>
      <c r="G26" s="40"/>
    </row>
    <row r="27" spans="1:9" ht="13.5" customHeight="1">
      <c r="A27" s="33" t="s">
        <v>36</v>
      </c>
      <c r="B27" s="73">
        <v>0</v>
      </c>
      <c r="C27" s="73">
        <v>0</v>
      </c>
      <c r="D27" s="6"/>
      <c r="G27" s="40"/>
    </row>
    <row r="28" spans="1:9" ht="13.5" customHeight="1">
      <c r="A28" s="33" t="s">
        <v>37</v>
      </c>
      <c r="B28" s="29">
        <f>IFERROR(IF($B$16="Primary Residence",PMT($G$74/12,360,-$F$20),0),"")</f>
        <v>0</v>
      </c>
      <c r="C28" s="29">
        <f>IFERROR(IF($B$16="Second Home",PMT($G$74/12,360,-$F$20),0),"")</f>
        <v>0</v>
      </c>
      <c r="D28" s="6"/>
      <c r="G28" s="40"/>
    </row>
    <row r="29" spans="1:9" ht="13.5" customHeight="1">
      <c r="A29" s="42" t="s">
        <v>38</v>
      </c>
      <c r="B29" s="73">
        <v>0</v>
      </c>
      <c r="C29" s="73">
        <v>0</v>
      </c>
      <c r="D29" s="6"/>
      <c r="G29" s="40"/>
    </row>
    <row r="30" spans="1:9" ht="13.5" customHeight="1">
      <c r="A30" s="42" t="s">
        <v>39</v>
      </c>
      <c r="B30" s="73">
        <v>0</v>
      </c>
      <c r="C30" s="73">
        <v>0</v>
      </c>
      <c r="D30" s="6"/>
      <c r="G30" s="40"/>
    </row>
    <row r="31" spans="1:9" ht="13.5" customHeight="1">
      <c r="A31" s="42" t="s">
        <v>40</v>
      </c>
      <c r="B31" s="73">
        <v>0</v>
      </c>
      <c r="C31" s="73">
        <v>0</v>
      </c>
      <c r="D31" s="6"/>
      <c r="G31" s="40"/>
    </row>
    <row r="32" spans="1:9" ht="13.5" customHeight="1">
      <c r="A32" s="33" t="s">
        <v>41</v>
      </c>
      <c r="B32" s="73">
        <v>0</v>
      </c>
      <c r="C32" s="73">
        <v>0</v>
      </c>
      <c r="D32" s="6"/>
      <c r="G32" s="40"/>
    </row>
    <row r="33" spans="1:9" ht="4.5" customHeight="1">
      <c r="A33" s="39"/>
      <c r="D33" s="6"/>
      <c r="G33" s="40"/>
    </row>
    <row r="34" spans="1:9" ht="13.5" customHeight="1">
      <c r="A34" s="33" t="s">
        <v>42</v>
      </c>
      <c r="B34" s="73">
        <v>0</v>
      </c>
      <c r="C34" s="73">
        <v>0</v>
      </c>
      <c r="D34" s="7"/>
      <c r="G34" s="40"/>
    </row>
    <row r="35" spans="1:9" ht="13.5" customHeight="1">
      <c r="A35" s="33" t="s">
        <v>43</v>
      </c>
      <c r="B35" s="29">
        <f>SUM($B$27:$B$34)</f>
        <v>0</v>
      </c>
      <c r="C35" s="29">
        <f>SUM($C$27:$C$34)</f>
        <v>0</v>
      </c>
      <c r="G35" s="43"/>
    </row>
    <row r="36" spans="1:9" ht="13.5" customHeight="1">
      <c r="A36" s="33"/>
      <c r="B36" s="3" t="s">
        <v>44</v>
      </c>
      <c r="G36" s="40"/>
    </row>
    <row r="37" spans="1:9" ht="13.5" customHeight="1">
      <c r="A37" s="33" t="s">
        <v>45</v>
      </c>
      <c r="B37" s="29">
        <f>SUM($B$27:$C$34)</f>
        <v>0</v>
      </c>
      <c r="G37" s="40"/>
    </row>
    <row r="38" spans="1:9" ht="13.5" customHeight="1">
      <c r="A38" s="39"/>
      <c r="G38" s="40"/>
    </row>
    <row r="39" spans="1:9" ht="13.5" customHeight="1">
      <c r="A39" s="39"/>
      <c r="C39" s="8"/>
      <c r="D39" s="7"/>
      <c r="G39" s="40"/>
    </row>
    <row r="40" spans="1:9" ht="13.5" customHeight="1">
      <c r="A40" s="15" t="s">
        <v>46</v>
      </c>
      <c r="B40" s="12"/>
      <c r="C40" s="12"/>
      <c r="D40" s="12"/>
      <c r="E40" s="12"/>
      <c r="F40" s="12"/>
      <c r="G40" s="14"/>
    </row>
    <row r="41" spans="1:9" ht="13.5" customHeight="1">
      <c r="A41" s="158" t="s">
        <v>47</v>
      </c>
      <c r="B41" s="159"/>
      <c r="C41" s="16"/>
      <c r="D41" s="16"/>
      <c r="E41" s="160" t="s">
        <v>48</v>
      </c>
      <c r="F41" s="160"/>
      <c r="G41" s="60" t="s">
        <v>49</v>
      </c>
    </row>
    <row r="42" spans="1:9" ht="12.75">
      <c r="A42" s="54" t="s">
        <v>50</v>
      </c>
      <c r="B42" s="90">
        <f>IF(OR($B$16 ="Second Home",$B$17="Standalone"),250000,500000)</f>
        <v>500000</v>
      </c>
      <c r="C42" s="18"/>
      <c r="D42" s="52"/>
      <c r="E42" s="53" t="s">
        <v>51</v>
      </c>
      <c r="F42" s="90" t="str">
        <f>IF(ISBLANK($F$20),"",$F$20)</f>
        <v/>
      </c>
      <c r="G42" s="101" t="str">
        <f>IF($F$42="","",IF($F$42&lt;=$B$42,"Yes","No"))</f>
        <v/>
      </c>
      <c r="H42" s="51"/>
      <c r="I42" s="51"/>
    </row>
    <row r="43" spans="1:9" ht="12.75">
      <c r="A43" s="44" t="s">
        <v>52</v>
      </c>
      <c r="B43" s="17">
        <f>IF(OR($B$16 ="Second Home",$B$17="Standalone"),720, 680)</f>
        <v>680</v>
      </c>
      <c r="C43" s="18"/>
      <c r="D43" s="18"/>
      <c r="E43" s="117" t="s">
        <v>53</v>
      </c>
      <c r="F43" s="91" t="str">
        <f>IF(IF($B$12&gt;=$F$12, $B$11,$F$11)=0,"",IF($B$12&gt;=$F$12, $B$11,$F$11))</f>
        <v/>
      </c>
      <c r="G43" s="101" t="str">
        <f>IF($F$43="","",IF($F$43&gt;=$B$43,"Yes","No"))</f>
        <v/>
      </c>
      <c r="H43" s="51"/>
      <c r="I43" s="51"/>
    </row>
    <row r="44" spans="1:9" ht="12.75">
      <c r="A44" s="44" t="s">
        <v>54</v>
      </c>
      <c r="B44" s="113">
        <f>IF($B$16 ="Second Home",0.43,0.45)</f>
        <v>0.45</v>
      </c>
      <c r="C44" s="18"/>
      <c r="D44" s="18"/>
      <c r="E44" s="32" t="s">
        <v>55</v>
      </c>
      <c r="F44" s="19" t="str">
        <f>IFERROR($B$37/($B$12+$F$12),"")</f>
        <v/>
      </c>
      <c r="G44" s="101" t="str">
        <f>IF($F$44="","",IF($F$44&lt;=$B$44,"Yes","No"))</f>
        <v/>
      </c>
      <c r="H44" s="51"/>
      <c r="I44" s="51"/>
    </row>
    <row r="45" spans="1:9" ht="13.5" customHeight="1">
      <c r="A45" s="44" t="s">
        <v>56</v>
      </c>
      <c r="B45" s="28">
        <f>IF(OR($B$15="AZ",$B$15="CA",$B$15="FL",$B$15="OR",$B$15="WA",$B$17="Standalone"),50000,25000)</f>
        <v>25000</v>
      </c>
      <c r="C45" s="18"/>
      <c r="D45" s="18"/>
      <c r="E45" s="117" t="s">
        <v>30</v>
      </c>
      <c r="F45" s="92" t="str">
        <f>IF(ISBLANK($F$21),"",$F$21)</f>
        <v/>
      </c>
      <c r="G45" s="101" t="str">
        <f>IF($F$45="","",IF($F$45&gt;=$B$45,"Yes","No"))</f>
        <v/>
      </c>
      <c r="H45" s="51"/>
      <c r="I45" s="51"/>
    </row>
    <row r="46" spans="1:9" ht="13.5" customHeight="1">
      <c r="A46" s="44" t="s">
        <v>57</v>
      </c>
      <c r="B46" s="28">
        <v>2500000</v>
      </c>
      <c r="C46" s="18"/>
      <c r="D46" s="18"/>
      <c r="E46" s="117" t="s">
        <v>58</v>
      </c>
      <c r="F46" s="92" t="str">
        <f>IF(($B$21+$F$20)=0,"",$B$21+$F$20)</f>
        <v/>
      </c>
      <c r="G46" s="101" t="str">
        <f>IF($F$46="","",IF($F$46&lt;=$B$46,"Yes","No"))</f>
        <v/>
      </c>
      <c r="H46" s="51"/>
      <c r="I46" s="51"/>
    </row>
    <row r="47" spans="1:9" ht="13.5" customHeight="1">
      <c r="A47" s="44" t="s">
        <v>59</v>
      </c>
      <c r="B47" s="133">
        <f>IF($B$16="Second Home",0.85,0.8999)</f>
        <v>0.89990000000000003</v>
      </c>
      <c r="C47" s="20"/>
      <c r="D47" s="21"/>
      <c r="E47" s="117" t="s">
        <v>60</v>
      </c>
      <c r="F47" s="89" t="str">
        <f>IF(IF($B$20&gt;0,($F$20+$B$21)/$B$20,0)=0,"",IF($B$20&gt;0,($F$20+$B$21)/$B$20,0))</f>
        <v/>
      </c>
      <c r="G47" s="103" t="str">
        <f>IF($F$47="","",IF($F$47&lt;=$B$47,"Yes","No"))</f>
        <v/>
      </c>
      <c r="I47" s="51"/>
    </row>
    <row r="48" spans="1:9" ht="11.25" hidden="1" customHeight="1">
      <c r="A48" s="44"/>
      <c r="B48" s="114"/>
      <c r="C48" s="20"/>
      <c r="D48" s="21"/>
      <c r="E48" s="117"/>
      <c r="F48" s="115"/>
      <c r="G48" s="103"/>
      <c r="I48" s="51"/>
    </row>
    <row r="49" spans="1:20" ht="13.5" customHeight="1">
      <c r="A49" s="44"/>
      <c r="B49" s="83"/>
      <c r="C49" s="20"/>
      <c r="D49" s="21"/>
      <c r="E49" s="117" t="s">
        <v>61</v>
      </c>
      <c r="F49" s="17"/>
      <c r="G49" s="101" t="str">
        <f>IF(OR($F$42="",$F$45=""),"",IF($F$45&lt;=$F$42,"Yes","No"))</f>
        <v/>
      </c>
      <c r="H49" s="51"/>
      <c r="I49" s="51"/>
    </row>
    <row r="50" spans="1:20" ht="13.5" customHeight="1">
      <c r="A50" s="44"/>
      <c r="B50" s="18"/>
      <c r="C50" s="18"/>
      <c r="D50" s="55" t="s">
        <v>62</v>
      </c>
      <c r="E50" s="56" t="s">
        <v>63</v>
      </c>
      <c r="F50" s="64" t="str">
        <f>IFERROR(IF(G50="Yes","R","T"),"")</f>
        <v>T</v>
      </c>
      <c r="G50" s="102" t="str">
        <f>IF(OR(COUNTIF($G$42:$G$49,"No")&gt;0,COUNTIF($G$42:$G$49,"Yes")&lt;7),"No","Yes")</f>
        <v>No</v>
      </c>
    </row>
    <row r="51" spans="1:20" ht="3.75" customHeight="1">
      <c r="A51" s="44"/>
      <c r="B51" s="18"/>
      <c r="C51" s="18"/>
      <c r="D51" s="57"/>
      <c r="E51" s="23"/>
      <c r="F51" s="104"/>
      <c r="G51" s="69"/>
      <c r="H51" s="51"/>
      <c r="I51" s="51"/>
    </row>
    <row r="52" spans="1:20" ht="13.5" customHeight="1">
      <c r="A52" s="152" t="s">
        <v>64</v>
      </c>
      <c r="B52" s="153"/>
      <c r="C52" s="50"/>
      <c r="D52" s="58" t="s">
        <v>65</v>
      </c>
      <c r="E52" s="59" t="s">
        <v>66</v>
      </c>
      <c r="F52" s="65" t="str">
        <f>IFERROR(IF(G52="Yes","R","T"),"")</f>
        <v>R</v>
      </c>
      <c r="G52" s="101" t="str">
        <f>IF(AND($B$17="Piggyback",$F$16 = "Purchase"),VLOOKUP($B$15,States!$C$3:$H$63,4,FALSE),VLOOKUP($B$15,States!$C$3:$H$63,6,FALSE))</f>
        <v>Yes</v>
      </c>
      <c r="H52" s="51"/>
      <c r="I52" s="51"/>
    </row>
    <row r="53" spans="1:20" ht="3.95" customHeight="1">
      <c r="A53" s="44"/>
      <c r="B53" s="18"/>
      <c r="C53" s="18"/>
      <c r="D53" s="57"/>
      <c r="E53" s="23"/>
      <c r="F53" s="104"/>
      <c r="G53" s="69"/>
      <c r="H53" s="51"/>
      <c r="I53" s="51"/>
    </row>
    <row r="54" spans="1:20" ht="13.5" customHeight="1">
      <c r="A54" s="161">
        <f>IF($B$17="Piggyback","Piggyback Purchase",IF($B$17="Standalone","Stand Alone",+$B$17))</f>
        <v>0</v>
      </c>
      <c r="B54" s="162"/>
      <c r="C54" s="66"/>
      <c r="D54" s="58" t="s">
        <v>67</v>
      </c>
      <c r="E54" s="59" t="s">
        <v>68</v>
      </c>
      <c r="F54" s="65" t="str">
        <f>IF(G54="Yes","R","T")</f>
        <v>T</v>
      </c>
      <c r="G54" s="101" t="str">
        <f>IF(OR((ISBLANK($B$17)),AND($B$17="Standalone",$B$16&lt;&gt;"Primary Residence")),"No","Yes")</f>
        <v>No</v>
      </c>
    </row>
    <row r="55" spans="1:20" ht="3.95" customHeight="1">
      <c r="A55" s="44"/>
      <c r="B55" s="18"/>
      <c r="C55" s="18"/>
      <c r="D55" s="22"/>
      <c r="E55" s="23"/>
      <c r="F55" s="104"/>
      <c r="G55" s="61"/>
      <c r="H55" s="51"/>
      <c r="I55" s="51"/>
    </row>
    <row r="56" spans="1:20" ht="15.75">
      <c r="A56" s="156"/>
      <c r="B56" s="157"/>
      <c r="C56" s="157"/>
      <c r="D56" s="98" t="s">
        <v>69</v>
      </c>
      <c r="E56" s="99" t="s">
        <v>70</v>
      </c>
      <c r="F56" s="125"/>
      <c r="G56" s="100" t="str">
        <f>IF(AND($G$50="Yes",$G$52="Yes",$G$54="Yes"),"Yes","No")</f>
        <v>No</v>
      </c>
      <c r="H56" s="51"/>
      <c r="I56" s="51"/>
      <c r="Q56" s="9"/>
      <c r="R56" s="9"/>
      <c r="S56" s="9"/>
      <c r="T56" s="9"/>
    </row>
    <row r="57" spans="1:20" ht="13.5" customHeight="1">
      <c r="A57" s="44"/>
      <c r="B57" s="18"/>
      <c r="C57" s="18"/>
      <c r="D57" s="21"/>
      <c r="E57" s="18"/>
      <c r="F57" s="18"/>
      <c r="G57" s="45"/>
      <c r="H57" s="51"/>
      <c r="I57" s="51"/>
      <c r="Q57" s="9"/>
      <c r="R57" s="9"/>
      <c r="S57" s="9"/>
      <c r="T57" s="9"/>
    </row>
    <row r="58" spans="1:20" ht="13.5" customHeight="1">
      <c r="A58" s="152" t="s">
        <v>71</v>
      </c>
      <c r="B58" s="153"/>
      <c r="C58" s="18"/>
      <c r="D58" s="22"/>
      <c r="E58" s="170"/>
      <c r="F58" s="170"/>
      <c r="G58" s="45"/>
      <c r="Q58" s="9"/>
      <c r="R58" s="9"/>
      <c r="S58" s="9"/>
      <c r="T58" s="9"/>
    </row>
    <row r="59" spans="1:20" ht="13.5" customHeight="1">
      <c r="A59" s="178" t="str">
        <f>_xlfn.TEXTJOIN(CHAR(10),TRUE,$P60:$P72)</f>
        <v/>
      </c>
      <c r="B59" s="179"/>
      <c r="C59" s="179"/>
      <c r="D59" s="21"/>
      <c r="E59" s="157"/>
      <c r="F59" s="157"/>
      <c r="G59" s="46"/>
      <c r="Q59" s="9"/>
      <c r="R59" s="9"/>
      <c r="S59" s="9"/>
      <c r="T59" s="9"/>
    </row>
    <row r="60" spans="1:20" ht="12.75">
      <c r="A60" s="178"/>
      <c r="B60" s="179"/>
      <c r="C60" s="179"/>
      <c r="D60" s="23"/>
      <c r="E60" s="157"/>
      <c r="F60" s="157"/>
      <c r="G60" s="123"/>
      <c r="P60" s="3" t="str">
        <f>IF($G$42="No", "Requested Line greater than maximum allowed","")</f>
        <v/>
      </c>
      <c r="R60" s="9"/>
      <c r="S60" s="9"/>
      <c r="T60" s="9"/>
    </row>
    <row r="61" spans="1:20" ht="13.5" customHeight="1">
      <c r="A61" s="178"/>
      <c r="B61" s="179"/>
      <c r="C61" s="179"/>
      <c r="D61" s="18"/>
      <c r="E61" s="157"/>
      <c r="F61" s="157"/>
      <c r="G61" s="70"/>
      <c r="P61" s="3" t="str">
        <f>IF($G$43="No","FICO Score less than minimum allowed","")</f>
        <v/>
      </c>
      <c r="R61" s="9"/>
      <c r="S61" s="9"/>
      <c r="T61" s="9"/>
    </row>
    <row r="62" spans="1:20" ht="13.5" customHeight="1">
      <c r="A62" s="178"/>
      <c r="B62" s="179"/>
      <c r="C62" s="179"/>
      <c r="D62" s="18"/>
      <c r="E62" s="170" t="s">
        <v>72</v>
      </c>
      <c r="F62" s="170"/>
      <c r="G62" s="45"/>
      <c r="P62" s="3" t="str">
        <f>IF($G$44="No","DTI greater than maximum allowed","")</f>
        <v/>
      </c>
      <c r="R62" s="9"/>
      <c r="S62" s="9"/>
      <c r="T62" s="9"/>
    </row>
    <row r="63" spans="1:20" ht="13.5" customHeight="1">
      <c r="A63" s="178"/>
      <c r="B63" s="179"/>
      <c r="C63" s="179"/>
      <c r="D63" s="18"/>
      <c r="E63" s="172" t="s">
        <v>73</v>
      </c>
      <c r="F63" s="172"/>
      <c r="G63" s="47">
        <f>IF(
IF(AND($F$47&lt;0.9,$F$43&gt;=760),Rules!$C$3,
IF(AND($F$47&lt;0.9,$F$43&gt;=720),Rules!$C$4,
IF(AND($F$47&lt;0.9,$F$43&gt;=700),Rules!$C$5,
IF(AND($F$47&lt;0.9,$F$43&gt;=680),Rules!$C$6,))))=FALSE,0,
IF(AND($F$47&lt;0.9,$F$43&gt;=760),Rules!$C$3,
IF(AND($F$47&lt;0.9,$F$43&gt;=720),Rules!$C$4,
IF(AND($F$47&lt;0.9,$F$43&gt;=700),Rules!$C$5,
IF(AND($F$47&lt;0.9,$F$43&gt;=680),Rules!$C$6,)))))</f>
        <v>0</v>
      </c>
      <c r="I63" s="93"/>
      <c r="P63" s="3" t="str">
        <f>IF($G$45="No", "Initial Advance less than minimum allowed","")</f>
        <v/>
      </c>
      <c r="Q63" s="122"/>
      <c r="R63" s="9"/>
      <c r="S63" s="9"/>
      <c r="T63" s="9"/>
    </row>
    <row r="64" spans="1:20" ht="13.5" customHeight="1">
      <c r="A64" s="178"/>
      <c r="B64" s="179"/>
      <c r="C64" s="179"/>
      <c r="D64" s="18"/>
      <c r="E64" s="171" t="s">
        <v>74</v>
      </c>
      <c r="F64" s="172"/>
      <c r="G64" s="47">
        <f>IF($G$56 ="Yes",Rules!$C$13,0)</f>
        <v>0</v>
      </c>
      <c r="P64" s="3" t="str">
        <f>IF($G$46="No","Combined Loan Amount greater than maximum allowed","")</f>
        <v/>
      </c>
      <c r="Q64" s="122"/>
      <c r="R64" s="9"/>
      <c r="S64" s="9"/>
      <c r="T64" s="9"/>
    </row>
    <row r="65" spans="1:20" ht="13.5" customHeight="1">
      <c r="A65" s="178"/>
      <c r="B65" s="179"/>
      <c r="C65" s="179"/>
      <c r="D65" s="18"/>
      <c r="E65" s="171" t="s">
        <v>75</v>
      </c>
      <c r="F65" s="172"/>
      <c r="G65" s="47">
        <f>IF($G$56 ="Yes",Rules!$C$14,0)</f>
        <v>0</v>
      </c>
      <c r="P65" s="3" t="str">
        <f>IF($G$47="No","HCLTV greater than maximum allowed","")</f>
        <v/>
      </c>
      <c r="Q65" s="9"/>
      <c r="R65" s="9"/>
      <c r="S65" s="9"/>
      <c r="T65" s="9"/>
    </row>
    <row r="66" spans="1:20" ht="13.5" customHeight="1">
      <c r="A66" s="178"/>
      <c r="B66" s="179"/>
      <c r="C66" s="179"/>
      <c r="D66" s="18"/>
      <c r="E66" s="136" t="s">
        <v>76</v>
      </c>
      <c r="F66" s="137"/>
      <c r="G66" s="47">
        <f>IF($G$56 ="Yes",Rules!$C$15,0)</f>
        <v>0</v>
      </c>
      <c r="Q66" s="9"/>
      <c r="R66" s="9"/>
      <c r="S66" s="9"/>
      <c r="T66" s="9"/>
    </row>
    <row r="67" spans="1:20" ht="13.5" customHeight="1">
      <c r="A67" s="178"/>
      <c r="B67" s="179"/>
      <c r="C67" s="179"/>
      <c r="D67" s="18"/>
      <c r="E67" s="136" t="s">
        <v>77</v>
      </c>
      <c r="F67" s="137"/>
      <c r="G67" s="47">
        <f>IF($G$56 ="Yes",Rules!$C$16,0)</f>
        <v>0</v>
      </c>
      <c r="Q67" s="9"/>
      <c r="R67" s="9"/>
      <c r="S67" s="9"/>
      <c r="T67" s="9"/>
    </row>
    <row r="68" spans="1:20" ht="13.5" customHeight="1">
      <c r="A68" s="178"/>
      <c r="B68" s="179"/>
      <c r="C68" s="179"/>
      <c r="D68" s="18"/>
      <c r="E68" s="171" t="s">
        <v>78</v>
      </c>
      <c r="F68" s="172"/>
      <c r="G68" s="47">
        <f>IF($G$56 ="Yes",Rules!$C$17,0)</f>
        <v>0</v>
      </c>
      <c r="Q68" s="9"/>
      <c r="R68" s="9"/>
      <c r="S68" s="9"/>
      <c r="T68" s="9"/>
    </row>
    <row r="69" spans="1:20" ht="13.5" customHeight="1">
      <c r="A69" s="178"/>
      <c r="B69" s="179"/>
      <c r="C69" s="179"/>
      <c r="D69" s="18"/>
      <c r="E69" s="171" t="s">
        <v>79</v>
      </c>
      <c r="F69" s="172"/>
      <c r="G69" s="47">
        <f>IF($G$56 ="Yes",Rules!$C$18,0)</f>
        <v>0</v>
      </c>
      <c r="Q69" s="9"/>
      <c r="R69" s="9"/>
      <c r="S69" s="9"/>
      <c r="T69" s="9"/>
    </row>
    <row r="70" spans="1:20" ht="13.5" customHeight="1">
      <c r="A70" s="178"/>
      <c r="B70" s="179"/>
      <c r="C70" s="179"/>
      <c r="D70" s="18"/>
      <c r="E70" s="171" t="s">
        <v>80</v>
      </c>
      <c r="F70" s="172"/>
      <c r="G70" s="47">
        <f>IF($G$56 ="Yes",Rules!$C$19,0)</f>
        <v>0</v>
      </c>
      <c r="P70" s="3" t="str">
        <f>IF($G$48="No", "Request Line Amount less than minimum allowed","")</f>
        <v/>
      </c>
      <c r="Q70" s="9"/>
      <c r="R70" s="9"/>
      <c r="S70" s="9"/>
      <c r="T70" s="9"/>
    </row>
    <row r="71" spans="1:20" ht="20.25">
      <c r="A71" s="178"/>
      <c r="B71" s="179"/>
      <c r="C71" s="179"/>
      <c r="D71" s="18"/>
      <c r="E71" s="173" t="s">
        <v>81</v>
      </c>
      <c r="F71" s="174"/>
      <c r="G71" s="63" t="str">
        <f>IF($G$56="No","",SUM($G$63:$G$70))</f>
        <v/>
      </c>
      <c r="H71" s="4" t="s">
        <v>82</v>
      </c>
      <c r="I71" s="4" t="s">
        <v>83</v>
      </c>
      <c r="P71" s="3" t="str">
        <f>IF($G$49="No", "Intial Advance must be equal to or less than Line Amount","")</f>
        <v/>
      </c>
      <c r="Q71" s="9"/>
      <c r="R71" s="9"/>
      <c r="S71" s="9"/>
      <c r="T71" s="9"/>
    </row>
    <row r="72" spans="1:20" ht="13.5" customHeight="1">
      <c r="A72" s="107"/>
      <c r="B72" s="18"/>
      <c r="C72" s="24"/>
      <c r="D72" s="18"/>
      <c r="E72" s="18"/>
      <c r="F72" s="18"/>
      <c r="G72" s="45"/>
      <c r="P72" s="3" t="str">
        <f>IF(AND($B$17="Standalone",$B$16&lt;&gt;"Primary Residence"), "Standalone not allowed for Second Home","")</f>
        <v/>
      </c>
      <c r="Q72" s="9"/>
      <c r="R72" s="9"/>
      <c r="S72" s="9"/>
      <c r="T72" s="9"/>
    </row>
    <row r="73" spans="1:20" ht="20.25">
      <c r="A73" s="107"/>
      <c r="B73" s="18"/>
      <c r="C73" s="18"/>
      <c r="D73" s="172" t="s">
        <v>84</v>
      </c>
      <c r="E73" s="172"/>
      <c r="F73" s="180"/>
      <c r="G73" s="63" t="str">
        <f>IF($G$56="No","",($B$22+$G$71))</f>
        <v/>
      </c>
      <c r="H73" s="4" t="s">
        <v>82</v>
      </c>
      <c r="I73" s="4" t="s">
        <v>85</v>
      </c>
    </row>
    <row r="74" spans="1:20" ht="13.5" customHeight="1">
      <c r="A74" s="107"/>
      <c r="B74" s="18"/>
      <c r="C74" s="18"/>
      <c r="D74" s="181" t="s">
        <v>86</v>
      </c>
      <c r="E74" s="181"/>
      <c r="F74" s="181"/>
      <c r="G74" s="124">
        <f>$B$22+Rules!C20+0.02</f>
        <v>0.06</v>
      </c>
      <c r="H74" s="105"/>
    </row>
    <row r="75" spans="1:20" ht="13.5" customHeight="1">
      <c r="A75" s="108"/>
      <c r="B75" s="18"/>
      <c r="C75" s="18"/>
      <c r="D75" s="172" t="s">
        <v>87</v>
      </c>
      <c r="E75" s="172"/>
      <c r="F75" s="172"/>
      <c r="G75" s="74">
        <f>IF($B$28=0,$C$28,$B$28)</f>
        <v>0</v>
      </c>
    </row>
    <row r="76" spans="1:20" ht="15" customHeight="1" thickBot="1">
      <c r="A76" s="107"/>
      <c r="B76" s="18"/>
      <c r="C76" s="18"/>
      <c r="D76" s="172" t="s">
        <v>88</v>
      </c>
      <c r="E76" s="172"/>
      <c r="F76" s="172"/>
      <c r="G76" s="126" t="str">
        <f>IFERROR(+$F$20*$G$73/12,"")</f>
        <v/>
      </c>
    </row>
    <row r="77" spans="1:20" ht="70.5" customHeight="1" thickTop="1" thickBot="1">
      <c r="A77" s="175" t="s">
        <v>89</v>
      </c>
      <c r="B77" s="176"/>
      <c r="C77" s="176"/>
      <c r="D77" s="176"/>
      <c r="E77" s="176"/>
      <c r="F77" s="176"/>
      <c r="G77" s="177"/>
    </row>
    <row r="78" spans="1:20" ht="13.5" customHeight="1" thickTop="1">
      <c r="G78" s="116" t="s">
        <v>90</v>
      </c>
    </row>
    <row r="79" spans="1:20" ht="13.5" customHeight="1">
      <c r="A79" s="4" t="s">
        <v>91</v>
      </c>
    </row>
    <row r="80" spans="1:20" ht="13.5" customHeight="1">
      <c r="A80" s="31" t="s">
        <v>92</v>
      </c>
    </row>
    <row r="81" spans="1:7" ht="13.5" customHeight="1">
      <c r="A81" s="31" t="s">
        <v>93</v>
      </c>
    </row>
    <row r="88" spans="1:7" ht="13.5" customHeight="1">
      <c r="B88" s="3" t="s">
        <v>44</v>
      </c>
      <c r="E88" s="13" t="s">
        <v>44</v>
      </c>
    </row>
    <row r="89" spans="1:7" ht="13.5" customHeight="1">
      <c r="B89" s="3" t="s">
        <v>44</v>
      </c>
      <c r="E89" s="3" t="s">
        <v>44</v>
      </c>
    </row>
    <row r="90" spans="1:7" ht="13.5" customHeight="1">
      <c r="B90" s="3" t="s">
        <v>44</v>
      </c>
      <c r="E90" s="3" t="s">
        <v>44</v>
      </c>
      <c r="G90" s="3" t="s">
        <v>44</v>
      </c>
    </row>
    <row r="91" spans="1:7" ht="13.5" customHeight="1">
      <c r="A91" s="13" t="s">
        <v>44</v>
      </c>
      <c r="E91" s="13" t="s">
        <v>44</v>
      </c>
    </row>
    <row r="92" spans="1:7" ht="13.5" customHeight="1">
      <c r="B92" s="13" t="s">
        <v>44</v>
      </c>
      <c r="C92" s="13"/>
      <c r="D92" s="13"/>
    </row>
    <row r="93" spans="1:7" ht="13.5" customHeight="1">
      <c r="G93" s="13" t="s">
        <v>44</v>
      </c>
    </row>
  </sheetData>
  <sheetProtection algorithmName="SHA-512" hashValue="84o+CdNWTsEVqfnWoHrflZ9MyTY9xza8CjDHqeAfXz2+yckrvmiU9RSWDg+NI89LBf8eDWMtUyWl2obFCXhHpw==" saltValue="9ByBT9xQkDugzIX00LOi2g==" spinCount="100000" sheet="1" objects="1" scenarios="1"/>
  <protectedRanges>
    <protectedRange algorithmName="SHA-512" hashValue="wVb1jmT+V731rEa/BgvZ0L/8RGuweB+Bn92OFZM+3bJ+bjJTG2Gn9a8qJNoFSlOVal6DVRjBl/A5q9Prc5Xmuw==" saltValue="cqjzW5NLdYqGs98JFIVrlw==" spinCount="100000" sqref="B35:C35 B37 A41:G49 B28:C28 A75 B64:B75 Q63 A64 B50:B62 A50:A58 A60:A62 P60:P71 G75 C50:D75 E50:F72 G50:G73" name="Calculated Cells"/>
  </protectedRanges>
  <mergeCells count="36">
    <mergeCell ref="A77:G77"/>
    <mergeCell ref="A59:C71"/>
    <mergeCell ref="E63:F63"/>
    <mergeCell ref="D73:F73"/>
    <mergeCell ref="D74:F74"/>
    <mergeCell ref="D75:F75"/>
    <mergeCell ref="D76:F76"/>
    <mergeCell ref="E58:F58"/>
    <mergeCell ref="E61:F61"/>
    <mergeCell ref="E64:F64"/>
    <mergeCell ref="E65:F65"/>
    <mergeCell ref="E71:F71"/>
    <mergeCell ref="E59:F59"/>
    <mergeCell ref="E70:F70"/>
    <mergeCell ref="E62:F62"/>
    <mergeCell ref="E60:F60"/>
    <mergeCell ref="E68:F68"/>
    <mergeCell ref="E69:F69"/>
    <mergeCell ref="E41:F41"/>
    <mergeCell ref="A54:B54"/>
    <mergeCell ref="F3:G3"/>
    <mergeCell ref="F4:G4"/>
    <mergeCell ref="F5:G5"/>
    <mergeCell ref="F15:G15"/>
    <mergeCell ref="F17:G17"/>
    <mergeCell ref="B10:C10"/>
    <mergeCell ref="F10:G10"/>
    <mergeCell ref="F12:G12"/>
    <mergeCell ref="F11:G11"/>
    <mergeCell ref="F16:G16"/>
    <mergeCell ref="A8:G8"/>
    <mergeCell ref="A58:B58"/>
    <mergeCell ref="B21:C21"/>
    <mergeCell ref="A52:B52"/>
    <mergeCell ref="A56:C56"/>
    <mergeCell ref="A41:B41"/>
  </mergeCells>
  <conditionalFormatting sqref="G42:G56">
    <cfRule type="cellIs" dxfId="2" priority="2" operator="equal">
      <formula>"No"</formula>
    </cfRule>
    <cfRule type="cellIs" dxfId="1" priority="3" operator="equal">
      <formula>"Yes"</formula>
    </cfRule>
  </conditionalFormatting>
  <dataValidations count="8">
    <dataValidation type="list" allowBlank="1" showInputMessage="1" showErrorMessage="1" errorTitle="Invalid Value" error="You have entered an invalid value.  The valid options are on the picklist. " sqref="B16">
      <formula1>"Primary Residence, Second Home"</formula1>
    </dataValidation>
    <dataValidation type="list" allowBlank="1" showInputMessage="1" showErrorMessage="1" errorTitle="Invalid Value" error="You have entered an invalid value.  The valid options are on the picklist. " sqref="P20:Q20">
      <formula1>"Piggyback, Piggyback (&gt;90CLTV), Piggyback/Delayed Closing, First Lien HELOC"</formula1>
    </dataValidation>
    <dataValidation type="list" allowBlank="1" showInputMessage="1" showErrorMessage="1" errorTitle="Invalid Value" error="You have entered an invalid value.  The valid options are on the picklist. " sqref="F15:G15">
      <formula1>"Second"</formula1>
    </dataValidation>
    <dataValidation type="list" allowBlank="1" showInputMessage="1" showErrorMessage="1" errorTitle="Invalid Value" error="You have entered an invalid value.  The valid options are on the picklist. " sqref="B18">
      <formula1>"Single Family, 2-4 Unit Multi,  Townhouse, PUD, Condo"</formula1>
    </dataValidation>
    <dataValidation type="list" allowBlank="1" showInputMessage="1" showErrorMessage="1" errorTitle="Invalid Value" error="You have entered an invalid value.  The valid options are on the picklist. " sqref="B17">
      <formula1>"Piggyback,Post Close Piggyback,Standalone"</formula1>
    </dataValidation>
    <dataValidation type="list" operator="greaterThanOrEqual" showInputMessage="1" showErrorMessage="1" errorTitle="Date:" error="The Closing Date should be later than today." sqref="F16:G16">
      <formula1>"Purchase, Refinance, Other"</formula1>
    </dataValidation>
    <dataValidation errorTitle="Invalid Value" error="You have entered an invalid value.  The valid options are on the picklist. " sqref="C15"/>
    <dataValidation allowBlank="1" errorTitle="Invalid Value" error="You have entered an invalid value.  The valid options are on the picklist. " sqref="C16 C17 C18"/>
  </dataValidations>
  <hyperlinks>
    <hyperlink ref="A80" r:id="rId1"/>
    <hyperlink ref="A41:B41" r:id="rId2" display="Program Guidelines:"/>
    <hyperlink ref="A81" r:id="rId3"/>
    <hyperlink ref="K3" location="Lookups!E4" display="Update State Geography"/>
    <hyperlink ref="K4" location="Rules!C2" display="Change Margin Rules"/>
    <hyperlink ref="K5" location="Rules!A17" display="Change Products"/>
  </hyperlinks>
  <pageMargins left="0.83" right="0.17" top="0.28000000000000003" bottom="0.39" header="0.21" footer="0.17"/>
  <pageSetup scale="70" orientation="portrait" r:id="rId4"/>
  <headerFooter>
    <oddFooter>&amp;L&amp;D &amp;T</oddFooter>
  </headerFooter>
  <customProperties>
    <customPr name="%locator_row%" r:id="rId5"/>
  </customProperties>
  <drawing r:id="rId6"/>
  <extLst>
    <ext xmlns:x14="http://schemas.microsoft.com/office/spreadsheetml/2009/9/main" uri="{CCE6A557-97BC-4b89-ADB6-D9C93CAAB3DF}">
      <x14:dataValidations xmlns:xm="http://schemas.microsoft.com/office/excel/2006/main" count="2">
        <x14:dataValidation type="list" showInputMessage="1" showErrorMessage="1" errorTitle="Invalid Value" error="You have entered an invalid value.  The valid options are on the picklist. ">
          <x14:formula1>
            <xm:f>States!$C$4:$C$62</xm:f>
          </x14:formula1>
          <xm:sqref>B15</xm:sqref>
        </x14:dataValidation>
        <x14:dataValidation type="date" operator="greaterThanOrEqual" allowBlank="1" showInputMessage="1" showErrorMessage="1" errorTitle="Date:" error="The Closing Date should be later than today.">
          <x14:formula1>
            <xm:f>States!B4</xm:f>
          </x14:formula1>
          <xm:sqref>F17:G18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130" zoomScaleNormal="130" workbookViewId="0">
      <selection activeCell="C5" sqref="C5"/>
    </sheetView>
  </sheetViews>
  <sheetFormatPr defaultColWidth="9" defaultRowHeight="12"/>
  <cols>
    <col min="1" max="1" width="19.85546875" style="25" customWidth="1"/>
    <col min="2" max="2" width="9.42578125" style="25" customWidth="1"/>
    <col min="3" max="3" width="14" style="25" customWidth="1"/>
    <col min="4" max="4" width="14.85546875" style="25" customWidth="1"/>
    <col min="5" max="5" width="10.28515625" style="25" bestFit="1" customWidth="1"/>
    <col min="6" max="6" width="10.42578125" style="87" customWidth="1"/>
    <col min="7" max="7" width="9.85546875" style="25" bestFit="1" customWidth="1"/>
    <col min="8" max="8" width="35.42578125" style="25" customWidth="1"/>
    <col min="9" max="9" width="15.140625" style="25" bestFit="1" customWidth="1"/>
    <col min="10" max="16384" width="9" style="25"/>
  </cols>
  <sheetData>
    <row r="1" spans="1:14">
      <c r="C1" s="182"/>
      <c r="D1" s="182"/>
    </row>
    <row r="2" spans="1:14" ht="24">
      <c r="A2" s="86" t="s">
        <v>94</v>
      </c>
      <c r="B2" s="86" t="s">
        <v>95</v>
      </c>
      <c r="C2" s="134" t="s">
        <v>96</v>
      </c>
      <c r="D2" s="135"/>
      <c r="E2" s="106" t="s">
        <v>97</v>
      </c>
      <c r="H2" s="121"/>
      <c r="I2" s="121"/>
      <c r="N2" s="72"/>
    </row>
    <row r="3" spans="1:14">
      <c r="A3" s="187" t="s">
        <v>98</v>
      </c>
      <c r="B3" s="130" t="s">
        <v>99</v>
      </c>
      <c r="C3" s="26">
        <v>0</v>
      </c>
      <c r="D3" s="26">
        <v>0</v>
      </c>
      <c r="E3" s="88">
        <f t="array" ref="E3:F3">IF('PreQual Worksheet'!$B$17:$C$17="Piggyback",C3,D3)</f>
        <v>0</v>
      </c>
      <c r="F3" s="87">
        <v>0</v>
      </c>
      <c r="H3" s="121"/>
      <c r="I3" s="121"/>
      <c r="N3" s="72"/>
    </row>
    <row r="4" spans="1:14" ht="12.75">
      <c r="A4" s="188"/>
      <c r="B4" s="130" t="s">
        <v>100</v>
      </c>
      <c r="C4" s="26">
        <v>4.8999999999999998E-3</v>
      </c>
      <c r="D4" s="26">
        <v>0</v>
      </c>
      <c r="E4" s="88">
        <f t="array" ref="E4">IF('PreQual Worksheet'!$B$17:$C$17="Piggyback",C4,D4)</f>
        <v>0</v>
      </c>
      <c r="H4" s="121"/>
      <c r="I4" s="122"/>
      <c r="N4" s="72"/>
    </row>
    <row r="5" spans="1:14" ht="12.75">
      <c r="A5" s="127"/>
      <c r="B5" s="130" t="s">
        <v>101</v>
      </c>
      <c r="C5" s="26">
        <v>9.9000000000000008E-3</v>
      </c>
      <c r="D5" s="26">
        <v>0</v>
      </c>
      <c r="E5" s="88">
        <f t="array" ref="E5">IF('PreQual Worksheet'!$B$17:$C$17="Piggyback",C5,D5)</f>
        <v>0</v>
      </c>
      <c r="H5" s="121"/>
      <c r="I5" s="122"/>
      <c r="N5" s="72"/>
    </row>
    <row r="6" spans="1:14" ht="12.75">
      <c r="A6" s="127"/>
      <c r="B6" s="130" t="s">
        <v>102</v>
      </c>
      <c r="C6" s="26">
        <v>1.9900000000000001E-2</v>
      </c>
      <c r="D6" s="26">
        <v>0</v>
      </c>
      <c r="E6" s="88">
        <f t="array" ref="E6">IF('PreQual Worksheet'!$B$17:$C$17="Piggyback",C6,D6)</f>
        <v>0</v>
      </c>
      <c r="H6" s="121"/>
      <c r="I6" s="122"/>
      <c r="N6" s="72"/>
    </row>
    <row r="7" spans="1:14">
      <c r="A7" s="183"/>
      <c r="B7" s="130"/>
      <c r="C7" s="26"/>
      <c r="D7" s="26"/>
      <c r="E7" s="88">
        <f t="array" ref="E7:F7">IF('PreQual Worksheet'!$B$17:$C$17="Piggyback",C7,D7)</f>
        <v>0</v>
      </c>
      <c r="F7" s="87">
        <v>0</v>
      </c>
      <c r="H7" s="121"/>
      <c r="I7" s="121"/>
    </row>
    <row r="8" spans="1:14" ht="12.75">
      <c r="A8" s="184"/>
      <c r="B8" s="130"/>
      <c r="C8" s="26"/>
      <c r="D8" s="75"/>
      <c r="E8" s="88">
        <f t="array" ref="E8:F8">IF('PreQual Worksheet'!$B$17:$C$17="Piggyback",C8,D8)</f>
        <v>0</v>
      </c>
      <c r="F8" s="87">
        <v>0</v>
      </c>
      <c r="H8" s="121"/>
      <c r="I8" s="122"/>
    </row>
    <row r="9" spans="1:14" ht="12.75">
      <c r="A9" s="131"/>
      <c r="B9" s="130"/>
      <c r="C9" s="26"/>
      <c r="D9" s="75"/>
      <c r="E9" s="88">
        <f t="array" ref="E9">IF('PreQual Worksheet'!$B$17:$C$17="Piggyback",C9,D9)</f>
        <v>0</v>
      </c>
      <c r="H9" s="121"/>
      <c r="I9" s="122"/>
    </row>
    <row r="10" spans="1:14" ht="12.75">
      <c r="A10" s="132"/>
      <c r="B10" s="130"/>
      <c r="C10" s="26"/>
      <c r="D10" s="75"/>
      <c r="E10" s="88">
        <f t="array" ref="E10">IF('PreQual Worksheet'!$B$17:$C$17="Piggyback",C10,D10)</f>
        <v>0</v>
      </c>
      <c r="H10" s="121"/>
      <c r="I10" s="122"/>
    </row>
    <row r="11" spans="1:14" ht="12.75">
      <c r="A11" s="185"/>
      <c r="B11" s="85"/>
      <c r="C11" s="128"/>
      <c r="D11" s="128"/>
      <c r="E11" s="129">
        <f t="array" ref="E11:F11">IF('PreQual Worksheet'!$B$17:$C$17="Piggyback",C11,D11)</f>
        <v>0</v>
      </c>
      <c r="F11" s="87">
        <v>0</v>
      </c>
      <c r="H11" s="121"/>
      <c r="I11" s="122"/>
    </row>
    <row r="12" spans="1:14">
      <c r="A12" s="186"/>
      <c r="B12" s="84"/>
      <c r="C12" s="26"/>
      <c r="D12" s="26"/>
      <c r="E12" s="88">
        <f t="array" ref="E12">IF('PreQual Worksheet'!$B$17:$C$17="Piggyback",C12,D12)</f>
        <v>0</v>
      </c>
    </row>
    <row r="13" spans="1:14" ht="51.6" customHeight="1">
      <c r="A13" s="138" t="s">
        <v>103</v>
      </c>
      <c r="B13" s="140">
        <v>2.5000000000000001E-3</v>
      </c>
      <c r="C13" s="146">
        <f>IF('PreQual Worksheet'!B16= "Second Home",0.0025,0)</f>
        <v>0</v>
      </c>
      <c r="D13" s="27"/>
      <c r="E13" s="27"/>
    </row>
    <row r="14" spans="1:14" ht="51.6" customHeight="1">
      <c r="A14" s="138" t="s">
        <v>75</v>
      </c>
      <c r="B14" s="141">
        <v>7.4999999999999997E-3</v>
      </c>
      <c r="C14" s="146">
        <f>IF('PreQual Worksheet'!$F$20&lt; 50000,0.0075,0)</f>
        <v>7.4999999999999997E-3</v>
      </c>
      <c r="D14" s="27"/>
      <c r="E14" s="27"/>
    </row>
    <row r="15" spans="1:14" ht="51.6" customHeight="1">
      <c r="A15" s="138" t="s">
        <v>76</v>
      </c>
      <c r="B15" s="141">
        <v>5.0000000000000001E-3</v>
      </c>
      <c r="C15" s="146">
        <f>IF(AND('PreQual Worksheet'!$F$20&gt; 49999,'PreQual Worksheet'!$F$20 &lt; 100000),0.005,0)</f>
        <v>0</v>
      </c>
      <c r="D15" s="27"/>
      <c r="E15" s="27"/>
    </row>
    <row r="16" spans="1:14" ht="51.6" customHeight="1">
      <c r="A16" s="138" t="s">
        <v>77</v>
      </c>
      <c r="B16" s="141">
        <v>2.5000000000000001E-3</v>
      </c>
      <c r="C16" s="146">
        <f>IF(AND('PreQual Worksheet'!F20 &gt; 99999, 'PreQual Worksheet'!F20 &lt; 150000),0.0025,0)</f>
        <v>0</v>
      </c>
      <c r="D16" s="27"/>
      <c r="E16" s="27"/>
    </row>
    <row r="17" spans="1:5" ht="41.1" customHeight="1">
      <c r="A17" s="138" t="s">
        <v>78</v>
      </c>
      <c r="B17" s="141">
        <v>7.4999999999999997E-3</v>
      </c>
      <c r="C17" s="146">
        <f>IF('PreQual Worksheet'!B15= "CA",0.0075,0)</f>
        <v>0</v>
      </c>
      <c r="D17" s="27"/>
      <c r="E17" s="27"/>
    </row>
    <row r="18" spans="1:5" ht="41.1" customHeight="1">
      <c r="A18" s="138" t="s">
        <v>79</v>
      </c>
      <c r="B18" s="141">
        <v>2.5000000000000001E-3</v>
      </c>
      <c r="C18" s="146">
        <f>IF(OR('PreQual Worksheet'!B15= "AZ",'PreQual Worksheet'!B15= "FL",'PreQual Worksheet'!B15= "OR",'PreQual Worksheet'!B15= "WA"  ),0.0025,0)</f>
        <v>0</v>
      </c>
      <c r="D18" s="27"/>
      <c r="E18" s="27"/>
    </row>
    <row r="19" spans="1:5" ht="41.1" customHeight="1">
      <c r="A19" s="138" t="s">
        <v>80</v>
      </c>
      <c r="B19" s="139">
        <v>0.01</v>
      </c>
      <c r="C19" s="146">
        <f>IF('PreQual Worksheet'!B17= "Standalone",0.01,0)</f>
        <v>0</v>
      </c>
      <c r="D19" s="27"/>
      <c r="E19" s="27"/>
    </row>
    <row r="20" spans="1:5" ht="25.5">
      <c r="C20" s="151">
        <f>'PreQual Worksheet'!G63+Rules!C13+Rules!C14+Rules!C15+Rules!C16+Rules!C17+Rules!C18+Rules!C19</f>
        <v>7.4999999999999997E-3</v>
      </c>
    </row>
    <row r="21" spans="1:5">
      <c r="C21" s="142"/>
    </row>
  </sheetData>
  <protectedRanges>
    <protectedRange algorithmName="SHA-512" hashValue="wVb1jmT+V731rEa/BgvZ0L/8RGuweB+Bn92OFZM+3bJ+bjJTG2Gn9a8qJNoFSlOVal6DVRjBl/A5q9Prc5Xmuw==" saltValue="cqjzW5NLdYqGs98JFIVrlw==" spinCount="100000" sqref="I2 I4:I11 H2:H10" name="Calculated Cells"/>
    <protectedRange algorithmName="SHA-512" hashValue="wVb1jmT+V731rEa/BgvZ0L/8RGuweB+Bn92OFZM+3bJ+bjJTG2Gn9a8qJNoFSlOVal6DVRjBl/A5q9Prc5Xmuw==" saltValue="cqjzW5NLdYqGs98JFIVrlw==" spinCount="100000" sqref="A14:B19" name="Calculated Cells_1"/>
    <protectedRange algorithmName="SHA-512" hashValue="wVb1jmT+V731rEa/BgvZ0L/8RGuweB+Bn92OFZM+3bJ+bjJTG2Gn9a8qJNoFSlOVal6DVRjBl/A5q9Prc5Xmuw==" saltValue="cqjzW5NLdYqGs98JFIVrlw==" spinCount="100000" sqref="C13:C19" name="Calculated Cells_2"/>
  </protectedRanges>
  <mergeCells count="4">
    <mergeCell ref="C1:D1"/>
    <mergeCell ref="A7:A8"/>
    <mergeCell ref="A11:A12"/>
    <mergeCell ref="A3:A4"/>
  </mergeCells>
  <dataValidations disablePrompts="1" count="1">
    <dataValidation operator="greaterThan" allowBlank="1" showInputMessage="1" showErrorMessage="1" sqref="B12 B8:B10 B4:B6"/>
  </dataValidations>
  <pageMargins left="0.7" right="0.7" top="0.75" bottom="0.75" header="0.3" footer="0.3"/>
  <pageSetup orientation="portrait" r:id="rId1"/>
  <customProperties>
    <customPr name="%locator_row%"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F17" sqref="F17"/>
    </sheetView>
  </sheetViews>
  <sheetFormatPr defaultRowHeight="15"/>
  <cols>
    <col min="1" max="1" width="16.140625" style="79" bestFit="1" customWidth="1"/>
    <col min="2" max="2" width="18.42578125" bestFit="1" customWidth="1"/>
    <col min="3" max="6" width="12.5703125" customWidth="1"/>
  </cols>
  <sheetData>
    <row r="1" spans="1:6">
      <c r="A1" s="77" t="s">
        <v>104</v>
      </c>
      <c r="B1" s="82" t="s">
        <v>105</v>
      </c>
      <c r="C1" s="80"/>
      <c r="D1" s="80"/>
      <c r="E1" s="81"/>
      <c r="F1" s="81"/>
    </row>
    <row r="2" spans="1:6">
      <c r="A2" s="77" t="s">
        <v>106</v>
      </c>
      <c r="B2" s="80">
        <v>2</v>
      </c>
      <c r="C2" s="80"/>
      <c r="D2" s="80"/>
      <c r="E2" s="81"/>
      <c r="F2" s="81"/>
    </row>
    <row r="3" spans="1:6">
      <c r="A3" s="77" t="s">
        <v>107</v>
      </c>
      <c r="B3" s="80" t="s">
        <v>108</v>
      </c>
      <c r="C3" s="80"/>
      <c r="D3" s="80"/>
      <c r="E3" s="81"/>
      <c r="F3" s="81"/>
    </row>
    <row r="4" spans="1:6">
      <c r="A4" s="77" t="s">
        <v>109</v>
      </c>
      <c r="B4" s="80" t="s">
        <v>110</v>
      </c>
      <c r="C4" s="80"/>
      <c r="D4" s="80"/>
      <c r="E4" s="81"/>
      <c r="F4" s="81"/>
    </row>
    <row r="5" spans="1:6">
      <c r="A5" s="77" t="s">
        <v>111</v>
      </c>
      <c r="B5" s="80">
        <v>500000</v>
      </c>
      <c r="C5" s="80"/>
      <c r="D5" s="80"/>
      <c r="E5" s="81"/>
      <c r="F5" s="81"/>
    </row>
    <row r="6" spans="1:6">
      <c r="A6" s="77" t="s">
        <v>112</v>
      </c>
      <c r="B6" s="80">
        <v>700</v>
      </c>
      <c r="C6" s="80"/>
      <c r="D6" s="80"/>
      <c r="E6" s="81"/>
      <c r="F6" s="81"/>
    </row>
    <row r="7" spans="1:6">
      <c r="A7" s="77" t="s">
        <v>113</v>
      </c>
      <c r="B7" s="80">
        <v>45</v>
      </c>
      <c r="C7" s="80"/>
      <c r="D7" s="80"/>
      <c r="E7" s="81"/>
      <c r="F7" s="81"/>
    </row>
    <row r="8" spans="1:6">
      <c r="A8" s="77" t="s">
        <v>114</v>
      </c>
      <c r="B8" s="80" t="s">
        <v>115</v>
      </c>
      <c r="C8" s="80"/>
      <c r="D8" s="80"/>
      <c r="E8" s="81"/>
      <c r="F8" s="81"/>
    </row>
    <row r="9" spans="1:6">
      <c r="A9" s="77"/>
      <c r="B9" s="80"/>
      <c r="C9" s="80"/>
      <c r="D9" s="80"/>
      <c r="E9" s="81"/>
      <c r="F9" s="81"/>
    </row>
    <row r="10" spans="1:6">
      <c r="A10" s="77"/>
      <c r="B10" s="80"/>
      <c r="C10" s="80"/>
      <c r="D10" s="80"/>
      <c r="E10" s="81"/>
      <c r="F10" s="81"/>
    </row>
    <row r="11" spans="1:6">
      <c r="A11" s="77"/>
      <c r="B11" s="80"/>
      <c r="C11" s="80"/>
      <c r="D11" s="80"/>
      <c r="E11" s="81"/>
      <c r="F11" s="81"/>
    </row>
    <row r="12" spans="1:6">
      <c r="A12" s="78"/>
      <c r="B12" s="81"/>
      <c r="C12" s="81"/>
      <c r="D12" s="81"/>
      <c r="E12" s="81"/>
      <c r="F12" s="81"/>
    </row>
    <row r="13" spans="1:6">
      <c r="A13" s="78"/>
      <c r="B13" s="81"/>
      <c r="C13" s="81"/>
      <c r="D13" s="81"/>
      <c r="E13" s="81"/>
      <c r="F13" s="81"/>
    </row>
    <row r="14" spans="1:6">
      <c r="A14" s="78"/>
      <c r="B14" s="81"/>
      <c r="C14" s="81"/>
      <c r="D14" s="81"/>
      <c r="E14" s="81"/>
      <c r="F14" s="81"/>
    </row>
    <row r="15" spans="1:6">
      <c r="A15" s="78"/>
      <c r="B15" s="81"/>
      <c r="C15" s="81"/>
      <c r="D15" s="81"/>
      <c r="E15" s="81"/>
      <c r="F15" s="81"/>
    </row>
    <row r="16" spans="1:6">
      <c r="A16" s="78"/>
      <c r="B16" s="81"/>
      <c r="C16" s="81"/>
      <c r="D16" s="81"/>
      <c r="E16" s="81"/>
      <c r="F16" s="81"/>
    </row>
    <row r="17" spans="1:6">
      <c r="A17" s="78"/>
      <c r="B17" s="81"/>
      <c r="C17" s="81"/>
      <c r="D17" s="81"/>
      <c r="E17" s="81"/>
      <c r="F17" s="81"/>
    </row>
    <row r="18" spans="1:6">
      <c r="A18" s="78"/>
      <c r="B18" s="81"/>
      <c r="C18" s="81"/>
      <c r="D18" s="81"/>
      <c r="E18" s="81"/>
      <c r="F18" s="81"/>
    </row>
    <row r="19" spans="1:6">
      <c r="A19" s="78" t="s">
        <v>116</v>
      </c>
      <c r="C19" s="81" t="s">
        <v>117</v>
      </c>
      <c r="D19" s="81"/>
      <c r="E19" s="81"/>
      <c r="F19" s="81"/>
    </row>
  </sheetData>
  <pageMargins left="0.7" right="0.7" top="0.75" bottom="0.75" header="0.3" footer="0.3"/>
  <pageSetup orientation="portrait" horizontalDpi="300" verticalDpi="300" r:id="rId1"/>
  <customProperties>
    <customPr name="%locator_row%"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pane xSplit="3" ySplit="3" topLeftCell="D4" activePane="bottomRight" state="frozen"/>
      <selection pane="topRight" activeCell="D1" sqref="D1"/>
      <selection pane="bottomLeft" activeCell="A4" sqref="A4"/>
      <selection pane="bottomRight" activeCell="F1" sqref="F1"/>
    </sheetView>
  </sheetViews>
  <sheetFormatPr defaultColWidth="9" defaultRowHeight="11.25"/>
  <cols>
    <col min="1" max="1" width="4.42578125" style="67" bestFit="1" customWidth="1"/>
    <col min="2" max="2" width="22.5703125" style="67" customWidth="1"/>
    <col min="3" max="3" width="7.7109375" style="76" bestFit="1" customWidth="1"/>
    <col min="4" max="4" width="22.42578125" style="67" bestFit="1" customWidth="1"/>
    <col min="5" max="6" width="9.5703125" style="67" bestFit="1" customWidth="1"/>
    <col min="7" max="7" width="10.42578125" style="67" bestFit="1" customWidth="1"/>
    <col min="8" max="8" width="19.85546875" style="67" bestFit="1" customWidth="1"/>
    <col min="9" max="16384" width="9" style="67"/>
  </cols>
  <sheetData>
    <row r="1" spans="1:8">
      <c r="A1" s="189" t="s">
        <v>118</v>
      </c>
      <c r="B1" s="189"/>
      <c r="F1" s="110">
        <v>4</v>
      </c>
      <c r="G1" s="109">
        <v>5</v>
      </c>
      <c r="H1" s="111">
        <v>6</v>
      </c>
    </row>
    <row r="2" spans="1:8">
      <c r="C2" s="190" t="s">
        <v>119</v>
      </c>
      <c r="D2" s="190"/>
      <c r="E2" s="190"/>
      <c r="F2" s="190"/>
      <c r="G2" s="190"/>
    </row>
    <row r="3" spans="1:8">
      <c r="A3" s="68" t="s">
        <v>120</v>
      </c>
      <c r="B3" s="97">
        <f ca="1">NOW()</f>
        <v>44636.620306481484</v>
      </c>
      <c r="C3" s="96" t="s">
        <v>121</v>
      </c>
      <c r="D3" s="94" t="s">
        <v>122</v>
      </c>
      <c r="E3" s="94" t="s">
        <v>123</v>
      </c>
      <c r="F3" s="112" t="s">
        <v>124</v>
      </c>
      <c r="G3" s="94" t="s">
        <v>125</v>
      </c>
      <c r="H3" s="112" t="s">
        <v>126</v>
      </c>
    </row>
    <row r="4" spans="1:8">
      <c r="C4" s="96" t="s">
        <v>127</v>
      </c>
      <c r="D4" s="95" t="s">
        <v>128</v>
      </c>
      <c r="E4" s="95" t="s">
        <v>129</v>
      </c>
      <c r="F4" s="95" t="s">
        <v>129</v>
      </c>
      <c r="G4" s="95" t="s">
        <v>130</v>
      </c>
      <c r="H4" s="95" t="s">
        <v>129</v>
      </c>
    </row>
    <row r="5" spans="1:8">
      <c r="C5" s="96" t="s">
        <v>131</v>
      </c>
      <c r="D5" s="95" t="s">
        <v>132</v>
      </c>
      <c r="E5" s="95" t="s">
        <v>129</v>
      </c>
      <c r="F5" s="95" t="str">
        <f t="shared" ref="F5:F14" si="0">IF(E5="Yes", "Yes","No")</f>
        <v>Yes</v>
      </c>
      <c r="G5" s="95" t="s">
        <v>130</v>
      </c>
      <c r="H5" s="95" t="s">
        <v>129</v>
      </c>
    </row>
    <row r="6" spans="1:8">
      <c r="C6" s="96" t="s">
        <v>133</v>
      </c>
      <c r="D6" s="95" t="s">
        <v>134</v>
      </c>
      <c r="E6" s="95" t="s">
        <v>130</v>
      </c>
      <c r="F6" s="95" t="str">
        <f t="shared" si="0"/>
        <v>No</v>
      </c>
      <c r="G6" s="95" t="s">
        <v>130</v>
      </c>
      <c r="H6" s="95" t="s">
        <v>130</v>
      </c>
    </row>
    <row r="7" spans="1:8">
      <c r="C7" s="96" t="s">
        <v>135</v>
      </c>
      <c r="D7" s="95" t="s">
        <v>136</v>
      </c>
      <c r="E7" s="95" t="s">
        <v>129</v>
      </c>
      <c r="F7" s="95" t="str">
        <f t="shared" si="0"/>
        <v>Yes</v>
      </c>
      <c r="G7" s="95" t="s">
        <v>130</v>
      </c>
      <c r="H7" s="95" t="s">
        <v>129</v>
      </c>
    </row>
    <row r="8" spans="1:8">
      <c r="C8" s="96" t="s">
        <v>137</v>
      </c>
      <c r="D8" s="95" t="s">
        <v>138</v>
      </c>
      <c r="E8" s="95" t="s">
        <v>129</v>
      </c>
      <c r="F8" s="95" t="str">
        <f t="shared" si="0"/>
        <v>Yes</v>
      </c>
      <c r="G8" s="95" t="s">
        <v>130</v>
      </c>
      <c r="H8" s="95" t="s">
        <v>129</v>
      </c>
    </row>
    <row r="9" spans="1:8">
      <c r="C9" s="96" t="s">
        <v>18</v>
      </c>
      <c r="D9" s="95" t="s">
        <v>139</v>
      </c>
      <c r="E9" s="95" t="s">
        <v>129</v>
      </c>
      <c r="F9" s="95" t="str">
        <f t="shared" si="0"/>
        <v>Yes</v>
      </c>
      <c r="G9" s="95" t="s">
        <v>130</v>
      </c>
      <c r="H9" s="95" t="s">
        <v>129</v>
      </c>
    </row>
    <row r="10" spans="1:8">
      <c r="C10" s="96" t="s">
        <v>140</v>
      </c>
      <c r="D10" s="95" t="s">
        <v>141</v>
      </c>
      <c r="E10" s="95" t="s">
        <v>129</v>
      </c>
      <c r="F10" s="95" t="str">
        <f t="shared" si="0"/>
        <v>Yes</v>
      </c>
      <c r="G10" s="95" t="s">
        <v>130</v>
      </c>
      <c r="H10" s="95" t="s">
        <v>129</v>
      </c>
    </row>
    <row r="11" spans="1:8">
      <c r="C11" s="96" t="s">
        <v>142</v>
      </c>
      <c r="D11" s="95" t="s">
        <v>143</v>
      </c>
      <c r="E11" s="95" t="s">
        <v>129</v>
      </c>
      <c r="F11" s="95" t="str">
        <f t="shared" si="0"/>
        <v>Yes</v>
      </c>
      <c r="G11" s="95" t="s">
        <v>130</v>
      </c>
      <c r="H11" s="95" t="s">
        <v>129</v>
      </c>
    </row>
    <row r="12" spans="1:8">
      <c r="C12" s="96" t="s">
        <v>144</v>
      </c>
      <c r="D12" s="95" t="s">
        <v>145</v>
      </c>
      <c r="E12" s="95" t="s">
        <v>129</v>
      </c>
      <c r="F12" s="95" t="str">
        <f t="shared" si="0"/>
        <v>Yes</v>
      </c>
      <c r="G12" s="95" t="s">
        <v>130</v>
      </c>
      <c r="H12" s="95" t="s">
        <v>129</v>
      </c>
    </row>
    <row r="13" spans="1:8">
      <c r="C13" s="96" t="s">
        <v>146</v>
      </c>
      <c r="D13" s="95" t="s">
        <v>147</v>
      </c>
      <c r="E13" s="95" t="s">
        <v>129</v>
      </c>
      <c r="F13" s="95" t="str">
        <f t="shared" si="0"/>
        <v>Yes</v>
      </c>
      <c r="G13" s="95" t="s">
        <v>130</v>
      </c>
      <c r="H13" s="95" t="s">
        <v>129</v>
      </c>
    </row>
    <row r="14" spans="1:8">
      <c r="C14" s="96" t="s">
        <v>148</v>
      </c>
      <c r="D14" s="95" t="s">
        <v>149</v>
      </c>
      <c r="E14" s="95" t="s">
        <v>130</v>
      </c>
      <c r="F14" s="95" t="str">
        <f t="shared" si="0"/>
        <v>No</v>
      </c>
      <c r="G14" s="95" t="s">
        <v>130</v>
      </c>
      <c r="H14" s="95" t="s">
        <v>130</v>
      </c>
    </row>
    <row r="15" spans="1:8">
      <c r="C15" s="96" t="s">
        <v>150</v>
      </c>
      <c r="D15" s="95" t="s">
        <v>151</v>
      </c>
      <c r="E15" s="95" t="s">
        <v>129</v>
      </c>
      <c r="F15" s="95" t="s">
        <v>129</v>
      </c>
      <c r="G15" s="95" t="s">
        <v>130</v>
      </c>
      <c r="H15" s="95" t="s">
        <v>129</v>
      </c>
    </row>
    <row r="16" spans="1:8">
      <c r="C16" s="96" t="s">
        <v>152</v>
      </c>
      <c r="D16" s="95" t="s">
        <v>153</v>
      </c>
      <c r="E16" s="95" t="s">
        <v>129</v>
      </c>
      <c r="F16" s="95" t="str">
        <f t="shared" ref="F16:F29" si="1">IF(E16="Yes", "Yes","No")</f>
        <v>Yes</v>
      </c>
      <c r="G16" s="95" t="s">
        <v>130</v>
      </c>
      <c r="H16" s="95" t="s">
        <v>129</v>
      </c>
    </row>
    <row r="17" spans="3:8">
      <c r="C17" s="96" t="s">
        <v>154</v>
      </c>
      <c r="D17" s="95" t="s">
        <v>155</v>
      </c>
      <c r="E17" s="95" t="s">
        <v>129</v>
      </c>
      <c r="F17" s="95" t="str">
        <f t="shared" si="1"/>
        <v>Yes</v>
      </c>
      <c r="G17" s="95" t="s">
        <v>130</v>
      </c>
      <c r="H17" s="95" t="s">
        <v>129</v>
      </c>
    </row>
    <row r="18" spans="3:8">
      <c r="C18" s="96" t="s">
        <v>156</v>
      </c>
      <c r="D18" s="95" t="s">
        <v>157</v>
      </c>
      <c r="E18" s="95" t="s">
        <v>129</v>
      </c>
      <c r="F18" s="95" t="str">
        <f t="shared" si="1"/>
        <v>Yes</v>
      </c>
      <c r="G18" s="95" t="s">
        <v>130</v>
      </c>
      <c r="H18" s="95" t="s">
        <v>129</v>
      </c>
    </row>
    <row r="19" spans="3:8">
      <c r="C19" s="96" t="s">
        <v>158</v>
      </c>
      <c r="D19" s="95" t="s">
        <v>159</v>
      </c>
      <c r="E19" s="95" t="s">
        <v>129</v>
      </c>
      <c r="F19" s="95" t="str">
        <f t="shared" si="1"/>
        <v>Yes</v>
      </c>
      <c r="G19" s="95" t="s">
        <v>130</v>
      </c>
      <c r="H19" s="95" t="s">
        <v>129</v>
      </c>
    </row>
    <row r="20" spans="3:8">
      <c r="C20" s="96" t="s">
        <v>160</v>
      </c>
      <c r="D20" s="95" t="s">
        <v>161</v>
      </c>
      <c r="E20" s="95" t="s">
        <v>129</v>
      </c>
      <c r="F20" s="95" t="str">
        <f t="shared" si="1"/>
        <v>Yes</v>
      </c>
      <c r="G20" s="95" t="s">
        <v>130</v>
      </c>
      <c r="H20" s="95" t="s">
        <v>129</v>
      </c>
    </row>
    <row r="21" spans="3:8">
      <c r="C21" s="96" t="s">
        <v>162</v>
      </c>
      <c r="D21" s="95" t="s">
        <v>163</v>
      </c>
      <c r="E21" s="95" t="s">
        <v>130</v>
      </c>
      <c r="F21" s="95" t="str">
        <f t="shared" si="1"/>
        <v>No</v>
      </c>
      <c r="G21" s="95" t="s">
        <v>130</v>
      </c>
      <c r="H21" s="95" t="s">
        <v>130</v>
      </c>
    </row>
    <row r="22" spans="3:8">
      <c r="C22" s="96" t="s">
        <v>164</v>
      </c>
      <c r="D22" s="95" t="s">
        <v>165</v>
      </c>
      <c r="E22" s="95" t="s">
        <v>129</v>
      </c>
      <c r="F22" s="95" t="s">
        <v>129</v>
      </c>
      <c r="G22" s="95" t="s">
        <v>130</v>
      </c>
      <c r="H22" s="95" t="s">
        <v>129</v>
      </c>
    </row>
    <row r="23" spans="3:8">
      <c r="C23" s="96" t="s">
        <v>166</v>
      </c>
      <c r="D23" s="95" t="s">
        <v>167</v>
      </c>
      <c r="E23" s="95" t="s">
        <v>129</v>
      </c>
      <c r="F23" s="95" t="s">
        <v>129</v>
      </c>
      <c r="G23" s="95" t="s">
        <v>129</v>
      </c>
      <c r="H23" s="95" t="s">
        <v>129</v>
      </c>
    </row>
    <row r="24" spans="3:8">
      <c r="C24" s="96" t="s">
        <v>168</v>
      </c>
      <c r="D24" s="95" t="s">
        <v>169</v>
      </c>
      <c r="E24" s="95" t="s">
        <v>130</v>
      </c>
      <c r="F24" s="95" t="str">
        <f t="shared" si="1"/>
        <v>No</v>
      </c>
      <c r="G24" s="95" t="s">
        <v>130</v>
      </c>
      <c r="H24" s="95" t="s">
        <v>130</v>
      </c>
    </row>
    <row r="25" spans="3:8">
      <c r="C25" s="96" t="s">
        <v>170</v>
      </c>
      <c r="D25" s="95" t="s">
        <v>171</v>
      </c>
      <c r="E25" s="95" t="s">
        <v>129</v>
      </c>
      <c r="F25" s="95" t="str">
        <f t="shared" si="1"/>
        <v>Yes</v>
      </c>
      <c r="G25" s="95" t="s">
        <v>130</v>
      </c>
      <c r="H25" s="95" t="s">
        <v>129</v>
      </c>
    </row>
    <row r="26" spans="3:8">
      <c r="C26" s="96" t="s">
        <v>172</v>
      </c>
      <c r="D26" s="95" t="s">
        <v>173</v>
      </c>
      <c r="E26" s="95" t="s">
        <v>129</v>
      </c>
      <c r="F26" s="95" t="str">
        <f t="shared" si="1"/>
        <v>Yes</v>
      </c>
      <c r="G26" s="95" t="s">
        <v>130</v>
      </c>
      <c r="H26" s="95" t="s">
        <v>129</v>
      </c>
    </row>
    <row r="27" spans="3:8">
      <c r="C27" s="96" t="s">
        <v>174</v>
      </c>
      <c r="D27" s="95" t="s">
        <v>175</v>
      </c>
      <c r="E27" s="95" t="s">
        <v>130</v>
      </c>
      <c r="F27" s="95" t="str">
        <f t="shared" si="1"/>
        <v>No</v>
      </c>
      <c r="G27" s="95" t="s">
        <v>130</v>
      </c>
      <c r="H27" s="95" t="s">
        <v>130</v>
      </c>
    </row>
    <row r="28" spans="3:8">
      <c r="C28" s="96" t="s">
        <v>176</v>
      </c>
      <c r="D28" s="95" t="s">
        <v>177</v>
      </c>
      <c r="E28" s="95" t="s">
        <v>130</v>
      </c>
      <c r="F28" s="95" t="str">
        <f t="shared" si="1"/>
        <v>No</v>
      </c>
      <c r="G28" s="95" t="s">
        <v>130</v>
      </c>
      <c r="H28" s="95" t="s">
        <v>130</v>
      </c>
    </row>
    <row r="29" spans="3:8">
      <c r="C29" s="96" t="s">
        <v>178</v>
      </c>
      <c r="D29" s="95" t="s">
        <v>179</v>
      </c>
      <c r="E29" s="95" t="s">
        <v>129</v>
      </c>
      <c r="F29" s="95" t="str">
        <f t="shared" si="1"/>
        <v>Yes</v>
      </c>
      <c r="G29" s="95" t="s">
        <v>130</v>
      </c>
      <c r="H29" s="95" t="s">
        <v>129</v>
      </c>
    </row>
    <row r="30" spans="3:8">
      <c r="C30" s="96" t="s">
        <v>180</v>
      </c>
      <c r="D30" s="95" t="s">
        <v>181</v>
      </c>
      <c r="E30" s="95" t="s">
        <v>129</v>
      </c>
      <c r="F30" s="95" t="s">
        <v>129</v>
      </c>
      <c r="G30" s="95" t="s">
        <v>130</v>
      </c>
      <c r="H30" s="95" t="s">
        <v>129</v>
      </c>
    </row>
    <row r="31" spans="3:8">
      <c r="C31" s="96" t="s">
        <v>182</v>
      </c>
      <c r="D31" s="95" t="s">
        <v>183</v>
      </c>
      <c r="E31" s="95" t="s">
        <v>130</v>
      </c>
      <c r="F31" s="95" t="str">
        <f>IF(E31="Yes", "Yes","No")</f>
        <v>No</v>
      </c>
      <c r="G31" s="95" t="s">
        <v>130</v>
      </c>
      <c r="H31" s="95" t="s">
        <v>130</v>
      </c>
    </row>
    <row r="32" spans="3:8">
      <c r="C32" s="96" t="s">
        <v>184</v>
      </c>
      <c r="D32" s="95" t="s">
        <v>185</v>
      </c>
      <c r="E32" s="95" t="s">
        <v>129</v>
      </c>
      <c r="F32" s="95" t="str">
        <f>IF(E32="Yes", "Yes","No")</f>
        <v>Yes</v>
      </c>
      <c r="G32" s="95" t="s">
        <v>130</v>
      </c>
      <c r="H32" s="95" t="s">
        <v>129</v>
      </c>
    </row>
    <row r="33" spans="3:8">
      <c r="C33" s="96" t="s">
        <v>186</v>
      </c>
      <c r="D33" s="95" t="s">
        <v>187</v>
      </c>
      <c r="E33" s="95" t="s">
        <v>130</v>
      </c>
      <c r="F33" s="95" t="str">
        <f>IF(E33="Yes", "Yes","No")</f>
        <v>No</v>
      </c>
      <c r="G33" s="95" t="s">
        <v>130</v>
      </c>
      <c r="H33" s="95" t="s">
        <v>130</v>
      </c>
    </row>
    <row r="34" spans="3:8">
      <c r="C34" s="96" t="s">
        <v>188</v>
      </c>
      <c r="D34" s="95" t="s">
        <v>189</v>
      </c>
      <c r="E34" s="95" t="s">
        <v>129</v>
      </c>
      <c r="F34" s="95" t="str">
        <f>IF(E34="Yes", "Yes","No")</f>
        <v>Yes</v>
      </c>
      <c r="G34" s="95" t="s">
        <v>130</v>
      </c>
      <c r="H34" s="95" t="s">
        <v>129</v>
      </c>
    </row>
    <row r="35" spans="3:8">
      <c r="C35" s="96" t="s">
        <v>190</v>
      </c>
      <c r="D35" s="95" t="s">
        <v>191</v>
      </c>
      <c r="E35" s="95" t="s">
        <v>130</v>
      </c>
      <c r="F35" s="95" t="str">
        <f>IF(E35="Yes", "Yes","No")</f>
        <v>No</v>
      </c>
      <c r="G35" s="95" t="s">
        <v>130</v>
      </c>
      <c r="H35" s="95" t="s">
        <v>130</v>
      </c>
    </row>
    <row r="36" spans="3:8">
      <c r="C36" s="96" t="s">
        <v>192</v>
      </c>
      <c r="D36" s="95" t="s">
        <v>193</v>
      </c>
      <c r="E36" s="95" t="s">
        <v>129</v>
      </c>
      <c r="F36" s="95" t="s">
        <v>129</v>
      </c>
      <c r="G36" s="95" t="s">
        <v>130</v>
      </c>
      <c r="H36" s="95" t="s">
        <v>129</v>
      </c>
    </row>
    <row r="37" spans="3:8">
      <c r="C37" s="96" t="s">
        <v>194</v>
      </c>
      <c r="D37" s="95" t="s">
        <v>195</v>
      </c>
      <c r="E37" s="95" t="s">
        <v>130</v>
      </c>
      <c r="F37" s="95" t="str">
        <f t="shared" ref="F37:F48" si="2">IF(E37="Yes", "Yes","No")</f>
        <v>No</v>
      </c>
      <c r="G37" s="95" t="s">
        <v>130</v>
      </c>
      <c r="H37" s="95" t="s">
        <v>130</v>
      </c>
    </row>
    <row r="38" spans="3:8">
      <c r="C38" s="96" t="s">
        <v>196</v>
      </c>
      <c r="D38" s="95" t="s">
        <v>197</v>
      </c>
      <c r="E38" s="95" t="s">
        <v>129</v>
      </c>
      <c r="F38" s="95" t="str">
        <f t="shared" si="2"/>
        <v>Yes</v>
      </c>
      <c r="G38" s="95" t="s">
        <v>130</v>
      </c>
      <c r="H38" s="95" t="s">
        <v>129</v>
      </c>
    </row>
    <row r="39" spans="3:8">
      <c r="C39" s="96" t="s">
        <v>198</v>
      </c>
      <c r="D39" s="95" t="s">
        <v>199</v>
      </c>
      <c r="E39" s="95" t="s">
        <v>129</v>
      </c>
      <c r="F39" s="95" t="str">
        <f t="shared" si="2"/>
        <v>Yes</v>
      </c>
      <c r="G39" s="95" t="s">
        <v>130</v>
      </c>
      <c r="H39" s="95" t="s">
        <v>129</v>
      </c>
    </row>
    <row r="40" spans="3:8">
      <c r="C40" s="96" t="s">
        <v>200</v>
      </c>
      <c r="D40" s="95" t="s">
        <v>201</v>
      </c>
      <c r="E40" s="95" t="s">
        <v>129</v>
      </c>
      <c r="F40" s="95" t="str">
        <f t="shared" si="2"/>
        <v>Yes</v>
      </c>
      <c r="G40" s="95" t="s">
        <v>130</v>
      </c>
      <c r="H40" s="95" t="s">
        <v>129</v>
      </c>
    </row>
    <row r="41" spans="3:8">
      <c r="C41" s="96" t="s">
        <v>202</v>
      </c>
      <c r="D41" s="95" t="s">
        <v>203</v>
      </c>
      <c r="E41" s="95" t="s">
        <v>129</v>
      </c>
      <c r="F41" s="95" t="str">
        <f t="shared" si="2"/>
        <v>Yes</v>
      </c>
      <c r="G41" s="95" t="s">
        <v>130</v>
      </c>
      <c r="H41" s="95" t="s">
        <v>129</v>
      </c>
    </row>
    <row r="42" spans="3:8">
      <c r="C42" s="96" t="s">
        <v>204</v>
      </c>
      <c r="D42" s="95" t="s">
        <v>205</v>
      </c>
      <c r="E42" s="95" t="s">
        <v>130</v>
      </c>
      <c r="F42" s="95" t="str">
        <f t="shared" si="2"/>
        <v>No</v>
      </c>
      <c r="G42" s="95" t="s">
        <v>130</v>
      </c>
      <c r="H42" s="95" t="s">
        <v>130</v>
      </c>
    </row>
    <row r="43" spans="3:8">
      <c r="C43" s="96" t="s">
        <v>206</v>
      </c>
      <c r="D43" s="95" t="s">
        <v>207</v>
      </c>
      <c r="E43" s="95" t="s">
        <v>129</v>
      </c>
      <c r="F43" s="95" t="str">
        <f t="shared" si="2"/>
        <v>Yes</v>
      </c>
      <c r="G43" s="95" t="s">
        <v>129</v>
      </c>
      <c r="H43" s="95" t="s">
        <v>129</v>
      </c>
    </row>
    <row r="44" spans="3:8">
      <c r="C44" s="96" t="s">
        <v>208</v>
      </c>
      <c r="D44" s="95" t="s">
        <v>209</v>
      </c>
      <c r="E44" s="95" t="s">
        <v>130</v>
      </c>
      <c r="F44" s="95" t="str">
        <f t="shared" si="2"/>
        <v>No</v>
      </c>
      <c r="G44" s="95" t="s">
        <v>130</v>
      </c>
      <c r="H44" s="95" t="s">
        <v>130</v>
      </c>
    </row>
    <row r="45" spans="3:8">
      <c r="C45" s="96" t="s">
        <v>210</v>
      </c>
      <c r="D45" s="95" t="s">
        <v>211</v>
      </c>
      <c r="E45" s="95" t="s">
        <v>129</v>
      </c>
      <c r="F45" s="95" t="str">
        <f t="shared" si="2"/>
        <v>Yes</v>
      </c>
      <c r="G45" s="95" t="s">
        <v>130</v>
      </c>
      <c r="H45" s="95" t="s">
        <v>129</v>
      </c>
    </row>
    <row r="46" spans="3:8">
      <c r="C46" s="96" t="s">
        <v>212</v>
      </c>
      <c r="D46" s="95" t="s">
        <v>213</v>
      </c>
      <c r="E46" s="95" t="s">
        <v>130</v>
      </c>
      <c r="F46" s="95" t="str">
        <f t="shared" si="2"/>
        <v>No</v>
      </c>
      <c r="G46" s="95" t="s">
        <v>130</v>
      </c>
      <c r="H46" s="95" t="s">
        <v>130</v>
      </c>
    </row>
    <row r="47" spans="3:8">
      <c r="C47" s="96" t="s">
        <v>214</v>
      </c>
      <c r="D47" s="95" t="s">
        <v>215</v>
      </c>
      <c r="E47" s="95" t="s">
        <v>129</v>
      </c>
      <c r="F47" s="95" t="str">
        <f t="shared" si="2"/>
        <v>Yes</v>
      </c>
      <c r="G47" s="95" t="s">
        <v>130</v>
      </c>
      <c r="H47" s="95" t="s">
        <v>129</v>
      </c>
    </row>
    <row r="48" spans="3:8">
      <c r="C48" s="96" t="s">
        <v>216</v>
      </c>
      <c r="D48" s="95" t="s">
        <v>217</v>
      </c>
      <c r="E48" s="95" t="s">
        <v>129</v>
      </c>
      <c r="F48" s="95" t="str">
        <f t="shared" si="2"/>
        <v>Yes</v>
      </c>
      <c r="G48" s="95" t="s">
        <v>130</v>
      </c>
      <c r="H48" s="95" t="s">
        <v>129</v>
      </c>
    </row>
    <row r="49" spans="3:8">
      <c r="C49" s="96" t="s">
        <v>218</v>
      </c>
      <c r="D49" s="95" t="s">
        <v>219</v>
      </c>
      <c r="E49" s="95" t="s">
        <v>129</v>
      </c>
      <c r="F49" s="95" t="s">
        <v>129</v>
      </c>
      <c r="G49" s="95" t="s">
        <v>130</v>
      </c>
      <c r="H49" s="95" t="s">
        <v>129</v>
      </c>
    </row>
    <row r="50" spans="3:8">
      <c r="C50" s="96" t="s">
        <v>220</v>
      </c>
      <c r="D50" s="95" t="s">
        <v>221</v>
      </c>
      <c r="E50" s="95" t="s">
        <v>129</v>
      </c>
      <c r="F50" s="95" t="str">
        <f>IF(E50="Yes", "Yes","No")</f>
        <v>Yes</v>
      </c>
      <c r="G50" s="95" t="s">
        <v>130</v>
      </c>
      <c r="H50" s="95" t="s">
        <v>129</v>
      </c>
    </row>
    <row r="51" spans="3:8">
      <c r="C51" s="96" t="s">
        <v>222</v>
      </c>
      <c r="D51" s="95" t="s">
        <v>223</v>
      </c>
      <c r="E51" s="95" t="s">
        <v>129</v>
      </c>
      <c r="F51" s="95" t="str">
        <f>IF(E51="Yes", "Yes","No")</f>
        <v>Yes</v>
      </c>
      <c r="G51" s="95" t="s">
        <v>130</v>
      </c>
      <c r="H51" s="95" t="s">
        <v>129</v>
      </c>
    </row>
    <row r="52" spans="3:8">
      <c r="C52" s="96" t="s">
        <v>224</v>
      </c>
      <c r="D52" s="95" t="s">
        <v>225</v>
      </c>
      <c r="E52" s="95" t="s">
        <v>226</v>
      </c>
      <c r="F52" s="95" t="str">
        <f>IF(E52="Yes", "Yes","No")</f>
        <v>No</v>
      </c>
      <c r="G52" s="95" t="s">
        <v>130</v>
      </c>
      <c r="H52" s="95" t="s">
        <v>130</v>
      </c>
    </row>
    <row r="53" spans="3:8">
      <c r="C53" s="96" t="s">
        <v>227</v>
      </c>
      <c r="D53" s="95" t="s">
        <v>228</v>
      </c>
      <c r="E53" s="95" t="s">
        <v>129</v>
      </c>
      <c r="F53" s="95" t="s">
        <v>129</v>
      </c>
      <c r="G53" s="95" t="s">
        <v>130</v>
      </c>
      <c r="H53" s="95" t="s">
        <v>129</v>
      </c>
    </row>
    <row r="54" spans="3:8">
      <c r="C54" s="96" t="s">
        <v>229</v>
      </c>
      <c r="D54" s="95" t="s">
        <v>230</v>
      </c>
      <c r="E54" s="95" t="s">
        <v>130</v>
      </c>
      <c r="F54" s="95" t="str">
        <f t="shared" ref="F54:F62" si="3">IF(E54="Yes", "Yes","No")</f>
        <v>No</v>
      </c>
      <c r="G54" s="95" t="s">
        <v>130</v>
      </c>
      <c r="H54" s="95" t="s">
        <v>130</v>
      </c>
    </row>
    <row r="55" spans="3:8">
      <c r="C55" s="96" t="s">
        <v>231</v>
      </c>
      <c r="D55" s="95" t="s">
        <v>232</v>
      </c>
      <c r="E55" s="95" t="s">
        <v>226</v>
      </c>
      <c r="F55" s="95" t="str">
        <f t="shared" si="3"/>
        <v>No</v>
      </c>
      <c r="G55" s="95" t="s">
        <v>130</v>
      </c>
      <c r="H55" s="95" t="s">
        <v>130</v>
      </c>
    </row>
    <row r="56" spans="3:8">
      <c r="C56" s="96" t="s">
        <v>233</v>
      </c>
      <c r="D56" s="95" t="s">
        <v>234</v>
      </c>
      <c r="E56" s="95" t="s">
        <v>130</v>
      </c>
      <c r="F56" s="95" t="str">
        <f t="shared" si="3"/>
        <v>No</v>
      </c>
      <c r="G56" s="95" t="s">
        <v>130</v>
      </c>
      <c r="H56" s="95" t="s">
        <v>130</v>
      </c>
    </row>
    <row r="57" spans="3:8">
      <c r="C57" s="96" t="s">
        <v>235</v>
      </c>
      <c r="D57" s="95" t="s">
        <v>236</v>
      </c>
      <c r="E57" s="95" t="s">
        <v>130</v>
      </c>
      <c r="F57" s="95" t="str">
        <f t="shared" si="3"/>
        <v>No</v>
      </c>
      <c r="G57" s="95" t="s">
        <v>130</v>
      </c>
      <c r="H57" s="95" t="s">
        <v>130</v>
      </c>
    </row>
    <row r="58" spans="3:8">
      <c r="C58" s="96" t="s">
        <v>237</v>
      </c>
      <c r="D58" s="95" t="s">
        <v>238</v>
      </c>
      <c r="E58" s="95" t="s">
        <v>130</v>
      </c>
      <c r="F58" s="95" t="str">
        <f t="shared" si="3"/>
        <v>No</v>
      </c>
      <c r="G58" s="95" t="s">
        <v>130</v>
      </c>
      <c r="H58" s="95" t="s">
        <v>130</v>
      </c>
    </row>
    <row r="59" spans="3:8">
      <c r="C59" s="96" t="s">
        <v>239</v>
      </c>
      <c r="D59" s="95" t="s">
        <v>240</v>
      </c>
      <c r="E59" s="95" t="s">
        <v>130</v>
      </c>
      <c r="F59" s="95" t="str">
        <f t="shared" si="3"/>
        <v>No</v>
      </c>
      <c r="G59" s="95" t="s">
        <v>130</v>
      </c>
      <c r="H59" s="95" t="s">
        <v>130</v>
      </c>
    </row>
    <row r="60" spans="3:8">
      <c r="C60" s="96" t="s">
        <v>241</v>
      </c>
      <c r="D60" s="95" t="s">
        <v>242</v>
      </c>
      <c r="E60" s="95" t="s">
        <v>130</v>
      </c>
      <c r="F60" s="95" t="str">
        <f t="shared" si="3"/>
        <v>No</v>
      </c>
      <c r="G60" s="95" t="s">
        <v>130</v>
      </c>
      <c r="H60" s="95" t="s">
        <v>130</v>
      </c>
    </row>
    <row r="61" spans="3:8">
      <c r="C61" s="96" t="s">
        <v>243</v>
      </c>
      <c r="D61" s="95" t="s">
        <v>244</v>
      </c>
      <c r="E61" s="95" t="s">
        <v>130</v>
      </c>
      <c r="F61" s="95" t="str">
        <f t="shared" si="3"/>
        <v>No</v>
      </c>
      <c r="G61" s="95" t="s">
        <v>130</v>
      </c>
      <c r="H61" s="95" t="s">
        <v>130</v>
      </c>
    </row>
    <row r="62" spans="3:8">
      <c r="C62" s="96" t="s">
        <v>245</v>
      </c>
      <c r="D62" s="95" t="s">
        <v>246</v>
      </c>
      <c r="E62" s="95" t="s">
        <v>130</v>
      </c>
      <c r="F62" s="95" t="str">
        <f t="shared" si="3"/>
        <v>No</v>
      </c>
      <c r="G62" s="95" t="s">
        <v>130</v>
      </c>
      <c r="H62" s="95" t="s">
        <v>130</v>
      </c>
    </row>
    <row r="63" spans="3:8">
      <c r="C63" s="96">
        <v>0</v>
      </c>
      <c r="D63" s="95" t="s">
        <v>247</v>
      </c>
      <c r="E63" s="95" t="s">
        <v>130</v>
      </c>
      <c r="F63" s="95" t="s">
        <v>130</v>
      </c>
      <c r="G63" s="95" t="s">
        <v>130</v>
      </c>
      <c r="H63" s="95" t="s">
        <v>130</v>
      </c>
    </row>
  </sheetData>
  <autoFilter ref="A3:H62"/>
  <sortState ref="C4:G53">
    <sortCondition ref="C4:C53"/>
  </sortState>
  <mergeCells count="2">
    <mergeCell ref="A1:B1"/>
    <mergeCell ref="C2:G2"/>
  </mergeCells>
  <pageMargins left="0.7" right="0.7" top="0.75" bottom="0.75" header="0.3" footer="0.3"/>
  <pageSetup orientation="portrait" horizontalDpi="300" verticalDpi="300" r:id="rId1"/>
  <customProperties>
    <customPr name="%locator_row%"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B4" sqref="B4"/>
    </sheetView>
  </sheetViews>
  <sheetFormatPr defaultRowHeight="15"/>
  <cols>
    <col min="1" max="1" width="14.85546875" bestFit="1" customWidth="1"/>
    <col min="2" max="2" width="12.140625" bestFit="1" customWidth="1"/>
    <col min="3" max="3" width="12.85546875" bestFit="1" customWidth="1"/>
    <col min="4" max="4" width="10.85546875" bestFit="1" customWidth="1"/>
  </cols>
  <sheetData>
    <row r="1" spans="1:4">
      <c r="A1" t="s">
        <v>248</v>
      </c>
      <c r="B1" t="s">
        <v>249</v>
      </c>
      <c r="C1" t="s">
        <v>250</v>
      </c>
      <c r="D1" t="s">
        <v>251</v>
      </c>
    </row>
    <row r="2" spans="1:4">
      <c r="A2" t="s">
        <v>252</v>
      </c>
      <c r="B2">
        <v>3.25</v>
      </c>
      <c r="C2">
        <v>3.25</v>
      </c>
      <c r="D2">
        <v>5.5</v>
      </c>
    </row>
  </sheetData>
  <pageMargins left="0.7" right="0.7" top="0.75" bottom="0.75" header="0.3" footer="0.3"/>
  <customProperties>
    <customPr name="%locator_row%"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F6E210788AFEB439DD13DFA917B6A4D" ma:contentTypeVersion="13" ma:contentTypeDescription="Create a new document." ma:contentTypeScope="" ma:versionID="4702310487bb006dc3d6011f2418e2e5">
  <xsd:schema xmlns:xsd="http://www.w3.org/2001/XMLSchema" xmlns:xs="http://www.w3.org/2001/XMLSchema" xmlns:p="http://schemas.microsoft.com/office/2006/metadata/properties" xmlns:ns2="5f794b4e-8271-411f-b884-283a3735d278" xmlns:ns3="d4624bad-ce51-41a5-aeb1-2209be570646" targetNamespace="http://schemas.microsoft.com/office/2006/metadata/properties" ma:root="true" ma:fieldsID="0b74a2bc3dc6c7e70eae627f5c870d6a" ns2:_="" ns3:_="">
    <xsd:import namespace="5f794b4e-8271-411f-b884-283a3735d278"/>
    <xsd:import namespace="d4624bad-ce51-41a5-aeb1-2209be5706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94b4e-8271-411f-b884-283a3735d2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624bad-ce51-41a5-aeb1-2209be5706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3878BC5F-FC42-4CEF-831D-84C2B81C9A39}">
  <ds:schemaRefs>
    <ds:schemaRef ds:uri="http://schemas.microsoft.com/DataMashup"/>
  </ds:schemaRefs>
</ds:datastoreItem>
</file>

<file path=customXml/itemProps2.xml><?xml version="1.0" encoding="utf-8"?>
<ds:datastoreItem xmlns:ds="http://schemas.openxmlformats.org/officeDocument/2006/customXml" ds:itemID="{C7CC759F-611C-49D4-A084-BDC55EC2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94b4e-8271-411f-b884-283a3735d278"/>
    <ds:schemaRef ds:uri="d4624bad-ce51-41a5-aeb1-2209be570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31E00-BADA-4C32-AF6C-DEFB4A198C5E}">
  <ds:schemaRefs>
    <ds:schemaRef ds:uri="http://purl.org/dc/dcmitype/"/>
    <ds:schemaRef ds:uri="http://www.w3.org/XML/1998/namespace"/>
    <ds:schemaRef ds:uri="http://schemas.microsoft.com/office/2006/metadata/properties"/>
    <ds:schemaRef ds:uri="http://schemas.microsoft.com/office/infopath/2007/PartnerControls"/>
    <ds:schemaRef ds:uri="5f794b4e-8271-411f-b884-283a3735d278"/>
    <ds:schemaRef ds:uri="http://schemas.microsoft.com/office/2006/documentManagement/types"/>
    <ds:schemaRef ds:uri="http://purl.org/dc/terms/"/>
    <ds:schemaRef ds:uri="http://schemas.openxmlformats.org/package/2006/metadata/core-properties"/>
    <ds:schemaRef ds:uri="d4624bad-ce51-41a5-aeb1-2209be570646"/>
    <ds:schemaRef ds:uri="http://purl.org/dc/elements/1.1/"/>
  </ds:schemaRefs>
</ds:datastoreItem>
</file>

<file path=customXml/itemProps4.xml><?xml version="1.0" encoding="utf-8"?>
<ds:datastoreItem xmlns:ds="http://schemas.openxmlformats.org/officeDocument/2006/customXml" ds:itemID="{AB256FBA-5D34-45D3-98B3-972506E6DD14}">
  <ds:schemaRefs>
    <ds:schemaRef ds:uri="http://schemas.microsoft.com/sharepoint/v3/contenttype/forms"/>
  </ds:schemaRefs>
</ds:datastoreItem>
</file>

<file path=customXml/itemProps5.xml><?xml version="1.0" encoding="utf-8"?>
<ds:datastoreItem xmlns:ds="http://schemas.openxmlformats.org/officeDocument/2006/customXml" ds:itemID="{0E78F029-9525-4E5E-A995-073B7CC0DC3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PreQual Worksheet</vt:lpstr>
      <vt:lpstr>Rules</vt:lpstr>
      <vt:lpstr>Reference</vt:lpstr>
      <vt:lpstr>States</vt:lpstr>
      <vt:lpstr>Rate</vt:lpstr>
      <vt:lpstr>Locator</vt:lpstr>
      <vt:lpstr>'PreQual Worksheet'!Print_Area</vt:lpstr>
      <vt:lpstr>Product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Cook</dc:creator>
  <cp:keywords/>
  <dc:description/>
  <cp:lastModifiedBy>Janet Nichols</cp:lastModifiedBy>
  <cp:revision/>
  <dcterms:created xsi:type="dcterms:W3CDTF">2019-03-26T22:22:48Z</dcterms:created>
  <dcterms:modified xsi:type="dcterms:W3CDTF">2022-03-16T21:53:20Z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0x010100DF6E210788AFEB439DD13DFA917B6A4D</vt:lpwstr>
  </property>
</Properties>
</file>